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20 Manuskripte\Jahrbuch + Internet\Kapitel H\"/>
    </mc:Choice>
  </mc:AlternateContent>
  <bookViews>
    <workbookView xWindow="1350" yWindow="-150" windowWidth="13275" windowHeight="7800"/>
  </bookViews>
  <sheets>
    <sheet name="2022" sheetId="22" r:id="rId1"/>
    <sheet name="2021" sheetId="21" r:id="rId2"/>
    <sheet name="2020" sheetId="15" r:id="rId3"/>
    <sheet name="2019" sheetId="7" r:id="rId4"/>
    <sheet name="2018" sheetId="16" r:id="rId5"/>
    <sheet name="2017" sheetId="17" r:id="rId6"/>
    <sheet name="2016" sheetId="18" r:id="rId7"/>
    <sheet name="2015" sheetId="19" r:id="rId8"/>
    <sheet name="2014" sheetId="20" r:id="rId9"/>
  </sheets>
  <definedNames>
    <definedName name="_xlnm.Print_Area" localSheetId="8">'2014'!$A$1:$M$36</definedName>
    <definedName name="_xlnm.Print_Area" localSheetId="7">'2015'!$A$1:$M$36</definedName>
    <definedName name="_xlnm.Print_Area" localSheetId="6">'2016'!$A$1:$M$36</definedName>
    <definedName name="_xlnm.Print_Area" localSheetId="5">'2017'!$A$1:$M$36</definedName>
    <definedName name="_xlnm.Print_Area" localSheetId="4">'2018'!$A$1:$M$36</definedName>
    <definedName name="_xlnm.Print_Area" localSheetId="3">'2019'!$A$1:$M$36</definedName>
    <definedName name="_xlnm.Print_Area" localSheetId="2">'2020'!$A$1:$M$36</definedName>
    <definedName name="_xlnm.Print_Area" localSheetId="1">'2021'!$A$1:$M$36</definedName>
    <definedName name="_xlnm.Print_Area" localSheetId="0">'2022'!$A$1:$M$36</definedName>
    <definedName name="DRUCKE" localSheetId="8">#REF!</definedName>
    <definedName name="DRUCKE" localSheetId="7">#REF!</definedName>
    <definedName name="DRUCKE" localSheetId="6">#REF!</definedName>
    <definedName name="DRUCKE" localSheetId="5">#REF!</definedName>
    <definedName name="DRUCKE" localSheetId="4">#REF!</definedName>
    <definedName name="DRUCKE" localSheetId="2">#REF!</definedName>
    <definedName name="DRUCKE" localSheetId="1">#REF!</definedName>
    <definedName name="DRUCKE" localSheetId="0">#REF!</definedName>
    <definedName name="DRUCKE">#REF!</definedName>
  </definedNames>
  <calcPr calcId="162913"/>
</workbook>
</file>

<file path=xl/calcChain.xml><?xml version="1.0" encoding="utf-8"?>
<calcChain xmlns="http://schemas.openxmlformats.org/spreadsheetml/2006/main">
  <c r="M37" i="15" l="1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37" i="18" l="1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K65" i="18"/>
  <c r="E65" i="18"/>
  <c r="M65" i="18" s="1"/>
  <c r="K64" i="18"/>
  <c r="E64" i="18"/>
  <c r="K63" i="18"/>
  <c r="E63" i="18"/>
  <c r="K62" i="18"/>
  <c r="E62" i="18"/>
  <c r="L61" i="18"/>
  <c r="K61" i="18"/>
  <c r="E61" i="18"/>
  <c r="K60" i="18"/>
  <c r="K59" i="18"/>
  <c r="E59" i="18"/>
  <c r="K58" i="18"/>
  <c r="E58" i="18"/>
  <c r="K57" i="18"/>
  <c r="E57" i="18"/>
  <c r="K56" i="18"/>
  <c r="E56" i="18"/>
  <c r="K55" i="18"/>
  <c r="E55" i="18"/>
  <c r="E54" i="18"/>
  <c r="E53" i="18"/>
  <c r="E52" i="18"/>
  <c r="E51" i="18"/>
  <c r="E50" i="18"/>
  <c r="E49" i="18"/>
  <c r="K48" i="18"/>
  <c r="E48" i="18"/>
  <c r="K47" i="18"/>
  <c r="K46" i="18"/>
  <c r="E46" i="18"/>
  <c r="K45" i="18"/>
  <c r="E45" i="18"/>
  <c r="K44" i="18"/>
  <c r="E44" i="18"/>
  <c r="K43" i="18"/>
  <c r="E43" i="18"/>
  <c r="K42" i="18"/>
  <c r="E42" i="18"/>
  <c r="K41" i="18"/>
  <c r="E41" i="18"/>
  <c r="L40" i="18"/>
  <c r="K40" i="18"/>
  <c r="E40" i="18"/>
  <c r="L39" i="18"/>
  <c r="K39" i="18"/>
  <c r="E39" i="18"/>
  <c r="K38" i="18"/>
  <c r="E38" i="18"/>
  <c r="K37" i="18"/>
  <c r="E37" i="18"/>
  <c r="L34" i="18"/>
  <c r="K34" i="18"/>
  <c r="E34" i="18"/>
  <c r="L33" i="18"/>
  <c r="K33" i="18"/>
  <c r="E33" i="18"/>
  <c r="L32" i="18"/>
  <c r="K32" i="18"/>
  <c r="E32" i="18"/>
  <c r="K31" i="18"/>
  <c r="E31" i="18"/>
  <c r="K30" i="18"/>
  <c r="E30" i="18"/>
  <c r="L29" i="18"/>
  <c r="K29" i="18"/>
  <c r="E29" i="18"/>
  <c r="L28" i="18"/>
  <c r="K28" i="18"/>
  <c r="E28" i="18"/>
  <c r="L27" i="18"/>
  <c r="K27" i="18"/>
  <c r="E27" i="18"/>
  <c r="L26" i="18"/>
  <c r="K26" i="18"/>
  <c r="E26" i="18"/>
  <c r="K25" i="18"/>
  <c r="E25" i="18"/>
  <c r="L24" i="18"/>
  <c r="K24" i="18"/>
  <c r="E24" i="18"/>
  <c r="E23" i="18"/>
  <c r="L22" i="18"/>
  <c r="K22" i="18"/>
  <c r="E22" i="18"/>
  <c r="K21" i="18"/>
  <c r="E21" i="18"/>
  <c r="L20" i="18"/>
  <c r="K20" i="18"/>
  <c r="E20" i="18"/>
  <c r="L19" i="18"/>
  <c r="K19" i="18"/>
  <c r="E19" i="18"/>
  <c r="K18" i="18"/>
  <c r="E18" i="18"/>
  <c r="L17" i="18"/>
  <c r="K17" i="18"/>
  <c r="E17" i="18"/>
  <c r="K16" i="18"/>
  <c r="E16" i="18"/>
  <c r="L15" i="18"/>
  <c r="K15" i="18"/>
  <c r="E15" i="18"/>
  <c r="L14" i="18"/>
  <c r="K14" i="18"/>
  <c r="E14" i="18"/>
  <c r="K13" i="18"/>
  <c r="E13" i="18"/>
  <c r="K12" i="18"/>
  <c r="E12" i="18"/>
  <c r="K11" i="18"/>
  <c r="E11" i="18"/>
  <c r="L10" i="18"/>
  <c r="K10" i="18"/>
  <c r="E10" i="18"/>
  <c r="L9" i="18"/>
  <c r="K9" i="18"/>
  <c r="E9" i="18"/>
  <c r="L8" i="18"/>
  <c r="K8" i="18"/>
  <c r="L7" i="18"/>
  <c r="K7" i="18"/>
  <c r="L6" i="18"/>
  <c r="K6" i="18"/>
  <c r="M65" i="17" l="1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L34" i="17"/>
  <c r="K34" i="17"/>
  <c r="J34" i="17"/>
  <c r="I34" i="17"/>
  <c r="H34" i="17"/>
  <c r="G34" i="17"/>
  <c r="F34" i="17"/>
  <c r="E34" i="17"/>
  <c r="D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34" i="17" l="1"/>
  <c r="M37" i="16"/>
  <c r="M34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</calcChain>
</file>

<file path=xl/sharedStrings.xml><?xml version="1.0" encoding="utf-8"?>
<sst xmlns="http://schemas.openxmlformats.org/spreadsheetml/2006/main" count="1628" uniqueCount="73">
  <si>
    <t>Veröffentlicht unter: BMEL-Statistik.de</t>
  </si>
  <si>
    <t xml:space="preserve"> -</t>
  </si>
  <si>
    <t xml:space="preserve">        -  </t>
  </si>
  <si>
    <t>23.57</t>
  </si>
  <si>
    <t>Tabellennummer: 8020660</t>
  </si>
  <si>
    <t>Mitgliedstaat</t>
  </si>
  <si>
    <t>Nachrichtlich: EU-28</t>
  </si>
  <si>
    <t xml:space="preserve">Quelle: Europäische Kommission (2020), BLE (414). </t>
  </si>
  <si>
    <t>Belgien</t>
  </si>
  <si>
    <t>Bulgarien</t>
  </si>
  <si>
    <t>Tschechische Republik</t>
  </si>
  <si>
    <t>Dänemark</t>
  </si>
  <si>
    <t>Deutschland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</si>
  <si>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</si>
  <si>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</si>
  <si>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</si>
  <si>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</si>
  <si>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</si>
  <si>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</si>
  <si>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</si>
  <si>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</si>
  <si>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</si>
  <si>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</si>
  <si>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</si>
  <si>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</si>
  <si>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</si>
  <si>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</si>
  <si>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</si>
  <si>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</si>
  <si>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</si>
  <si>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</si>
  <si>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</si>
  <si>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</si>
  <si>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</si>
  <si>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</si>
  <si>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</si>
  <si>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Direktbeihilfen von weniger als 0 € je Betrieb</t>
  </si>
  <si>
    <t>Direktbeihilfen insgesamt</t>
  </si>
  <si>
    <t>Anmerkung: Angaben für weniger als 10 Betriebe werden geheim gehalten. Direktbeihilfen von weniger als 0 € je Betrieb = Antragssteller, die Zahlen rückerstatten mussten.</t>
  </si>
  <si>
    <t>Einheit</t>
  </si>
  <si>
    <t>Fußnote</t>
  </si>
  <si>
    <t>%</t>
  </si>
  <si>
    <t>Direktbeihilfen in den Mitgliedstaaten im Rahmen des Europäischen Garantiefonds (EGFL) für die Landwirtschaft nach Größenklassen 2019</t>
  </si>
  <si>
    <t>in 1 000</t>
  </si>
  <si>
    <t>Direktbeihilfen von 0 bis 1 999 € je Betrieb</t>
  </si>
  <si>
    <t>Direktbeihilfen von 300 000 € und mehr je Betrieb</t>
  </si>
  <si>
    <t>Direktbeihilfen von 100 000 bis 299 999  €  je Betrieb</t>
  </si>
  <si>
    <t>Direktbeihilfen von 50 000 bis 99 999  €  je Betrieb</t>
  </si>
  <si>
    <t xml:space="preserve">Direktbeihilfen von 20 000 bis 49 999  €  je Betrieb </t>
  </si>
  <si>
    <t>Direktbeihilfen von 2 000 bis 4 999  €  je Betrieb</t>
  </si>
  <si>
    <t>Direktbeihilfen von 5 000 bis 9 999  €  je Betrieb</t>
  </si>
  <si>
    <t xml:space="preserve">Direktbeihilfen von 10 000 bis 19 999  €  je Betrieb </t>
  </si>
  <si>
    <t>b. Anteil der Größenklassen an der Gesamtzahl der Betriebe</t>
  </si>
  <si>
    <t>a. Zahl der Betriebe</t>
  </si>
  <si>
    <t>Direktbeihilfen in den Mitgliedstaaten im Rahmen des Europäischen Garantiefonds (EGFL) für die Landwirtschaft nach Größenklassen 2020</t>
  </si>
  <si>
    <t>Europa</t>
  </si>
  <si>
    <t>Direktbeihilfen in den Mitgliedstaaten im Rahmen des Europäischen Garantiefonds (EGFL) für die Landwirtschaft nach Größenklassen 2018</t>
  </si>
  <si>
    <t>Direktbeihilfen in den Mitgliedstaaten im Rahmen des Europäischen Garantiefonds (EGFL) für die Landwirtschaft nach Größenklassen 2017</t>
  </si>
  <si>
    <t>−</t>
  </si>
  <si>
    <t>-</t>
  </si>
  <si>
    <t>Direktbeihilfen in den Mitgliedstaaten im Rahmen des Europäischen Garantiefonds (EGFL) für die Landwirtschaft nach Größenklassen 2015</t>
  </si>
  <si>
    <t xml:space="preserve"> - </t>
  </si>
  <si>
    <t xml:space="preserve"> -   </t>
  </si>
  <si>
    <t xml:space="preserve"> -  </t>
  </si>
  <si>
    <t xml:space="preserve">Quelle: Europäische Kommission (2022), BLE (414). </t>
  </si>
  <si>
    <t>Direktbeihilfen in den Mitgliedstaaten im Rahmen des Europäischen Garantiefonds (EGFL) für die Landwirtschaft nach Größenklassen 2021</t>
  </si>
  <si>
    <t>EU-27</t>
  </si>
  <si>
    <t xml:space="preserve">Quelle: Europäische Kommission (2023), BLE (414). </t>
  </si>
  <si>
    <t>Anmerkung: Direktbeihilfen von weniger als 0 € je Betrieb = Antragssteller, die Zahlen rückerstatten mussten.</t>
  </si>
  <si>
    <r>
      <t>Anmerkung:</t>
    </r>
    <r>
      <rPr>
        <sz val="8"/>
        <color rgb="FFFF0000"/>
        <rFont val="BundesSans Office"/>
        <family val="2"/>
      </rPr>
      <t xml:space="preserve"> </t>
    </r>
    <r>
      <rPr>
        <sz val="8"/>
        <color theme="1"/>
        <rFont val="BundesSans Office"/>
        <family val="2"/>
      </rPr>
      <t>Direktbeihilfen von weniger als 0 € je Betrieb = Antragssteller, die Zahlen rückerstatten mussten.</t>
    </r>
  </si>
  <si>
    <t>Direktbeihilfen von 0 bis 
1 999 € je Betrieb</t>
  </si>
  <si>
    <t>Direktbeihilfen in den Mitgliedstaaten im Rahmen des Europäischen Garantiefonds (EGFL) für die Landwirtschaft nach Größenklassen 2022</t>
  </si>
  <si>
    <t xml:space="preserve">Quelle: Europäische Kommission (Stand: 03.06.2024), BLE (624).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</si>
</sst>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.00_)"/>
    <numFmt numFmtId="165" formatCode="#0.00_)"/>
    <numFmt numFmtId="166" formatCode="#\ ##0.00_)_)"/>
    <numFmt numFmtId="167" formatCode="#0.00_)_)"/>
    <numFmt numFmtId="168" formatCode="##0_)_)"/>
    <numFmt numFmtId="169" formatCode="###\ ##0.00_)_)"/>
    <numFmt numFmtId="170" formatCode="#0.0_)"/>
  </numFmts>
  <fonts count="17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Univers (WN)"/>
    </font>
    <font>
      <sz val="10"/>
      <name val="BundesSans Office"/>
      <family val="2"/>
    </font>
    <font>
      <b/>
      <sz val="11"/>
      <name val="BundesSans Office"/>
      <family val="2"/>
    </font>
    <font>
      <sz val="9"/>
      <name val="BundesSans Office"/>
      <family val="2"/>
    </font>
    <font>
      <b/>
      <sz val="10"/>
      <color indexed="10"/>
      <name val="BundesSans Office"/>
      <family val="2"/>
    </font>
    <font>
      <sz val="8"/>
      <name val="BundesSans Office"/>
      <family val="2"/>
    </font>
    <font>
      <b/>
      <sz val="8"/>
      <name val="BundesSans Office"/>
      <family val="2"/>
    </font>
    <font>
      <b/>
      <sz val="9"/>
      <name val="BundesSans Office"/>
      <family val="2"/>
    </font>
    <font>
      <b/>
      <sz val="10"/>
      <name val="BundesSans Office"/>
      <family val="2"/>
    </font>
    <font>
      <i/>
      <sz val="8"/>
      <name val="BundesSans Office"/>
      <family val="2"/>
    </font>
    <font>
      <b/>
      <i/>
      <sz val="8"/>
      <name val="BundesSans Office"/>
      <family val="2"/>
    </font>
    <font>
      <sz val="8"/>
      <color theme="1"/>
      <name val="BundesSans Office"/>
      <family val="2"/>
    </font>
    <font>
      <sz val="8"/>
      <color rgb="FFFF0000"/>
      <name val="BundesSans Offic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2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0" xfId="0" applyFont="1"/>
    <xf numFmtId="169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/>
    <xf numFmtId="164" fontId="9" fillId="0" borderId="0" xfId="0" applyNumberFormat="1" applyFont="1"/>
    <xf numFmtId="169" fontId="9" fillId="0" borderId="0" xfId="0" applyNumberFormat="1" applyFont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/>
    <xf numFmtId="166" fontId="10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/>
    <xf numFmtId="164" fontId="9" fillId="0" borderId="0" xfId="0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right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5" fontId="13" fillId="0" borderId="0" xfId="0" applyNumberFormat="1" applyFont="1" applyFill="1" applyBorder="1" applyAlignment="1">
      <alignment horizontal="right"/>
    </xf>
    <xf numFmtId="167" fontId="13" fillId="0" borderId="0" xfId="0" applyNumberFormat="1" applyFont="1" applyFill="1" applyBorder="1" applyAlignment="1">
      <alignment horizontal="right"/>
    </xf>
    <xf numFmtId="170" fontId="5" fillId="0" borderId="0" xfId="0" applyNumberFormat="1" applyFont="1"/>
    <xf numFmtId="0" fontId="5" fillId="0" borderId="0" xfId="0" applyNumberFormat="1" applyFont="1"/>
    <xf numFmtId="165" fontId="5" fillId="0" borderId="0" xfId="0" applyNumberFormat="1" applyFont="1"/>
    <xf numFmtId="165" fontId="9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167" fontId="14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15" fillId="0" borderId="0" xfId="0" applyFont="1" applyAlignment="1">
      <alignment horizontal="left"/>
    </xf>
    <xf numFmtId="0" fontId="9" fillId="0" borderId="0" xfId="0" applyFont="1" applyFill="1" applyBorder="1"/>
    <xf numFmtId="0" fontId="15" fillId="0" borderId="0" xfId="0" applyFont="1" applyAlignment="1">
      <alignment horizontal="right"/>
    </xf>
    <xf numFmtId="0" fontId="6" fillId="0" borderId="0" xfId="0" applyFont="1" applyAlignment="1">
      <alignment horizontal="centerContinuous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9" fillId="0" borderId="3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horizontal="left" vertical="center" wrapText="1"/>
    </xf>
    <xf numFmtId="168" fontId="13" fillId="0" borderId="0" xfId="0" applyNumberFormat="1" applyFont="1" applyFill="1" applyBorder="1" applyAlignment="1">
      <alignment horizontal="right"/>
    </xf>
    <xf numFmtId="168" fontId="14" fillId="0" borderId="0" xfId="0" applyNumberFormat="1" applyFont="1" applyFill="1" applyBorder="1" applyAlignment="1">
      <alignment horizontal="right"/>
    </xf>
    <xf numFmtId="0" fontId="9" fillId="0" borderId="3" xfId="2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9" fillId="0" borderId="3" xfId="2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</cellXfs>
  <cellStyles count="3">
    <cellStyle name="Standard" xfId="0" builtinId="0"/>
    <cellStyle name="Standard 2" xfId="1"/>
    <cellStyle name="Standard_439" xfId="2"/>
  </cellStyles>
  <dxfs count="29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#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#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#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#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#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#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#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#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#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.00_)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\ ##0.0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7" name="Tabelle15318" displayName="Tabelle15318" ref="A5:M34" totalsRowShown="0" headerRowDxfId="296" dataDxfId="294" headerRowBorderDxfId="295" tableBorderDxfId="293">
  <tableColumns count="13">
    <tableColumn id="1" name="Mitgliedstaat" dataDxfId="292"/>
    <tableColumn id="2" name="Einheit" dataDxfId="291"/>
    <tableColumn id="3" name="Fußnote" dataDxfId="290"/>
    <tableColumn id="4" name="Direktbeihilfen von weniger als 0 € je Betrieb"/>
    <tableColumn id="5" name="Direktbeihilfen von 0 bis _x000a_1 999 € je Betrieb" dataDxfId="289"/>
    <tableColumn id="6" name="Direktbeihilfen von 2 000 bis 4 999  €  je Betrieb" dataDxfId="288"/>
    <tableColumn id="7" name="Direktbeihilfen von 5 000 bis 9 999  €  je Betrieb" dataDxfId="287"/>
    <tableColumn id="8" name="Direktbeihilfen von 10 000 bis 19 999  €  je Betrieb " dataDxfId="286"/>
    <tableColumn id="9" name="Direktbeihilfen von 20 000 bis 49 999  €  je Betrieb " dataDxfId="285"/>
    <tableColumn id="10" name="Direktbeihilfen von 50 000 bis 99 999  €  je Betrieb" dataDxfId="284"/>
    <tableColumn id="11" name="Direktbeihilfen von 100 000 bis 299 999  €  je Betrieb" dataDxfId="283"/>
    <tableColumn id="12" name="Direktbeihilfen von 300 000 € und mehr je Betrieb" dataDxfId="282"/>
    <tableColumn id="13" name="Direktbeihilfen insgesamt" dataDxfId="2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Betriebe"/>
    </ext>
  </extLst>
</table>
</file>

<file path=xl/tables/table10.xml><?xml version="1.0" encoding="utf-8"?>
<table xmlns="http://schemas.openxmlformats.org/spreadsheetml/2006/main" id="7" name="Tabelle248" displayName="Tabelle248" ref="A36:M65" totalsRowShown="0" headerRowDxfId="148" dataDxfId="146" headerRowBorderDxfId="147" tableBorderDxfId="145">
  <autoFilter ref="A36:M65"/>
  <tableColumns count="13">
    <tableColumn id="1" name="Mitgliedstaat" dataDxfId="144"/>
    <tableColumn id="2" name="Einheit" dataDxfId="143"/>
    <tableColumn id="3" name="Fußnote" dataDxfId="142"/>
    <tableColumn id="4" name="Direktbeihilfen von weniger als 0 € je Betrieb" dataDxfId="141"/>
    <tableColumn id="5" name="Direktbeihilfen von 0 bis 1 999 € je Betrieb" dataDxfId="140"/>
    <tableColumn id="6" name="Direktbeihilfen von 2 000 bis 4 999  €  je Betrieb" dataDxfId="139"/>
    <tableColumn id="7" name="Direktbeihilfen von 5 000 bis 9 999  €  je Betrieb" dataDxfId="138"/>
    <tableColumn id="8" name="Direktbeihilfen von 10 000 bis 19 999  €  je Betrieb " dataDxfId="137"/>
    <tableColumn id="9" name="Direktbeihilfen von 20 000 bis 49 999  €  je Betrieb " dataDxfId="136"/>
    <tableColumn id="10" name="Direktbeihilfen von 50 000 bis 99 999  €  je Betrieb" dataDxfId="135"/>
    <tableColumn id="11" name="Direktbeihilfen von 100 000 bis 299 999  €  je Betrieb" dataDxfId="134"/>
    <tableColumn id="12" name="Direktbeihilfen von 300 000 € und mehr je Betrieb" dataDxfId="133"/>
    <tableColumn id="13" name="Direktbeihilfen insgesamt" dataDxfId="1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teil der Größenklassen an der Gesamtzahl der Betriebe"/>
    </ext>
  </extLst>
</table>
</file>

<file path=xl/tables/table11.xml><?xml version="1.0" encoding="utf-8"?>
<table xmlns="http://schemas.openxmlformats.org/spreadsheetml/2006/main" id="8" name="Tabelle179" displayName="Tabelle179" ref="A5:M34" totalsRowShown="0" headerRowDxfId="131" dataDxfId="129" headerRowBorderDxfId="130" tableBorderDxfId="128">
  <autoFilter ref="A5:M34"/>
  <tableColumns count="13">
    <tableColumn id="1" name="Mitgliedstaat" dataDxfId="127"/>
    <tableColumn id="2" name="Einheit" dataDxfId="126"/>
    <tableColumn id="3" name="Fußnote" dataDxfId="125"/>
    <tableColumn id="4" name="Direktbeihilfen von weniger als 0 € je Betrieb"/>
    <tableColumn id="5" name="Direktbeihilfen von 0 bis 1 999 € je Betrieb" dataDxfId="124"/>
    <tableColumn id="6" name="Direktbeihilfen von 2 000 bis 4 999  €  je Betrieb" dataDxfId="123"/>
    <tableColumn id="7" name="Direktbeihilfen von 5 000 bis 9 999  €  je Betrieb" dataDxfId="122"/>
    <tableColumn id="8" name="Direktbeihilfen von 10 000 bis 19 999  €  je Betrieb " dataDxfId="121"/>
    <tableColumn id="9" name="Direktbeihilfen von 20 000 bis 49 999  €  je Betrieb " dataDxfId="120"/>
    <tableColumn id="10" name="Direktbeihilfen von 50 000 bis 99 999  €  je Betrieb" dataDxfId="119"/>
    <tableColumn id="11" name="Direktbeihilfen von 100 000 bis 299 999  €  je Betrieb" dataDxfId="118"/>
    <tableColumn id="12" name="Direktbeihilfen von 300 000 € und mehr je Betrieb" dataDxfId="117"/>
    <tableColumn id="13" name="Direktbeihilfen insgesamt" dataDxfId="1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Betriebe"/>
    </ext>
  </extLst>
</table>
</file>

<file path=xl/tables/table12.xml><?xml version="1.0" encoding="utf-8"?>
<table xmlns="http://schemas.openxmlformats.org/spreadsheetml/2006/main" id="9" name="Tabelle24810" displayName="Tabelle24810" ref="A36:M65" totalsRowShown="0" headerRowDxfId="115" dataDxfId="113" headerRowBorderDxfId="114" tableBorderDxfId="112">
  <autoFilter ref="A36:M65"/>
  <tableColumns count="13">
    <tableColumn id="1" name="Mitgliedstaat" dataDxfId="111"/>
    <tableColumn id="2" name="Einheit" dataDxfId="110"/>
    <tableColumn id="3" name="Fußnote" dataDxfId="109"/>
    <tableColumn id="4" name="Direktbeihilfen von weniger als 0 € je Betrieb" dataDxfId="108"/>
    <tableColumn id="5" name="Direktbeihilfen von 0 bis 1 999 € je Betrieb" dataDxfId="107"/>
    <tableColumn id="6" name="Direktbeihilfen von 2 000 bis 4 999  €  je Betrieb" dataDxfId="106"/>
    <tableColumn id="7" name="Direktbeihilfen von 5 000 bis 9 999  €  je Betrieb" dataDxfId="105"/>
    <tableColumn id="8" name="Direktbeihilfen von 10 000 bis 19 999  €  je Betrieb " dataDxfId="104"/>
    <tableColumn id="9" name="Direktbeihilfen von 20 000 bis 49 999  €  je Betrieb " dataDxfId="103"/>
    <tableColumn id="10" name="Direktbeihilfen von 50 000 bis 99 999  €  je Betrieb" dataDxfId="102"/>
    <tableColumn id="11" name="Direktbeihilfen von 100 000 bis 299 999  €  je Betrieb" dataDxfId="101"/>
    <tableColumn id="12" name="Direktbeihilfen von 300 000 € und mehr je Betrieb" dataDxfId="100"/>
    <tableColumn id="13" name="Direktbeihilfen insgesamt" dataDxfId="99">
      <calculatedColumnFormula>SUM(D37:L37)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teil der Größenklassen an der Gesamtzahl der Betriebe"/>
    </ext>
  </extLst>
</table>
</file>

<file path=xl/tables/table13.xml><?xml version="1.0" encoding="utf-8"?>
<table xmlns="http://schemas.openxmlformats.org/spreadsheetml/2006/main" id="10" name="Tabelle17911" displayName="Tabelle17911" ref="A5:M34" totalsRowShown="0" headerRowDxfId="98" dataDxfId="96" headerRowBorderDxfId="97" tableBorderDxfId="95">
  <autoFilter ref="A5:M34"/>
  <tableColumns count="13">
    <tableColumn id="1" name="Mitgliedstaat" dataDxfId="94"/>
    <tableColumn id="2" name="Einheit" dataDxfId="93"/>
    <tableColumn id="3" name="Fußnote" dataDxfId="92"/>
    <tableColumn id="4" name="Direktbeihilfen von weniger als 0 € je Betrieb"/>
    <tableColumn id="5" name="Direktbeihilfen von 0 bis 1 999 € je Betrieb" dataDxfId="91"/>
    <tableColumn id="6" name="Direktbeihilfen von 2 000 bis 4 999  €  je Betrieb" dataDxfId="90"/>
    <tableColumn id="7" name="Direktbeihilfen von 5 000 bis 9 999  €  je Betrieb" dataDxfId="89"/>
    <tableColumn id="8" name="Direktbeihilfen von 10 000 bis 19 999  €  je Betrieb " dataDxfId="88"/>
    <tableColumn id="9" name="Direktbeihilfen von 20 000 bis 49 999  €  je Betrieb " dataDxfId="87"/>
    <tableColumn id="10" name="Direktbeihilfen von 50 000 bis 99 999  €  je Betrieb" dataDxfId="86"/>
    <tableColumn id="11" name="Direktbeihilfen von 100 000 bis 299 999  €  je Betrieb" dataDxfId="85"/>
    <tableColumn id="12" name="Direktbeihilfen von 300 000 € und mehr je Betrieb" dataDxfId="84"/>
    <tableColumn id="13" name="Direktbeihilfen insgesamt" dataDxfId="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Betriebe"/>
    </ext>
  </extLst>
</table>
</file>

<file path=xl/tables/table14.xml><?xml version="1.0" encoding="utf-8"?>
<table xmlns="http://schemas.openxmlformats.org/spreadsheetml/2006/main" id="11" name="Tabelle2481012" displayName="Tabelle2481012" ref="A36:M65" totalsRowShown="0" headerRowDxfId="82" dataDxfId="80" headerRowBorderDxfId="81" tableBorderDxfId="79">
  <autoFilter ref="A36:M65"/>
  <tableColumns count="13">
    <tableColumn id="1" name="Mitgliedstaat" dataDxfId="78"/>
    <tableColumn id="2" name="Einheit" dataDxfId="77"/>
    <tableColumn id="3" name="Fußnote" dataDxfId="76"/>
    <tableColumn id="4" name="Direktbeihilfen von weniger als 0 € je Betrieb" dataDxfId="75"/>
    <tableColumn id="5" name="Direktbeihilfen von 0 bis 1 999 € je Betrieb" dataDxfId="74"/>
    <tableColumn id="6" name="Direktbeihilfen von 2 000 bis 4 999  €  je Betrieb" dataDxfId="73"/>
    <tableColumn id="7" name="Direktbeihilfen von 5 000 bis 9 999  €  je Betrieb" dataDxfId="72"/>
    <tableColumn id="8" name="Direktbeihilfen von 10 000 bis 19 999  €  je Betrieb " dataDxfId="71"/>
    <tableColumn id="9" name="Direktbeihilfen von 20 000 bis 49 999  €  je Betrieb " dataDxfId="70"/>
    <tableColumn id="10" name="Direktbeihilfen von 50 000 bis 99 999  €  je Betrieb" dataDxfId="69"/>
    <tableColumn id="11" name="Direktbeihilfen von 100 000 bis 299 999  €  je Betrieb" dataDxfId="68"/>
    <tableColumn id="12" name="Direktbeihilfen von 300 000 € und mehr je Betrieb" dataDxfId="67"/>
    <tableColumn id="13" name="Direktbeihilfen insgesamt" dataDxfId="66">
      <calculatedColumnFormula>SUM(D37:L37)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teil der Größenklassen an der Gesamtzahl der Betriebe"/>
    </ext>
  </extLst>
</table>
</file>

<file path=xl/tables/table15.xml><?xml version="1.0" encoding="utf-8"?>
<table xmlns="http://schemas.openxmlformats.org/spreadsheetml/2006/main" id="12" name="Tabelle1791113" displayName="Tabelle1791113" ref="A5:M34" totalsRowShown="0" headerRowDxfId="65" dataDxfId="63" headerRowBorderDxfId="64" tableBorderDxfId="62">
  <autoFilter ref="A5:M34"/>
  <tableColumns count="13">
    <tableColumn id="1" name="Mitgliedstaat" dataDxfId="61"/>
    <tableColumn id="2" name="Einheit" dataDxfId="60"/>
    <tableColumn id="3" name="Fußnote" dataDxfId="59"/>
    <tableColumn id="4" name="Direktbeihilfen von weniger als 0 € je Betrieb"/>
    <tableColumn id="5" name="Direktbeihilfen von 0 bis 1 999 € je Betrieb" dataDxfId="58"/>
    <tableColumn id="6" name="Direktbeihilfen von 2 000 bis 4 999  €  je Betrieb" dataDxfId="57"/>
    <tableColumn id="7" name="Direktbeihilfen von 5 000 bis 9 999  €  je Betrieb" dataDxfId="56"/>
    <tableColumn id="8" name="Direktbeihilfen von 10 000 bis 19 999  €  je Betrieb " dataDxfId="55"/>
    <tableColumn id="9" name="Direktbeihilfen von 20 000 bis 49 999  €  je Betrieb " dataDxfId="54"/>
    <tableColumn id="10" name="Direktbeihilfen von 50 000 bis 99 999  €  je Betrieb" dataDxfId="53"/>
    <tableColumn id="11" name="Direktbeihilfen von 100 000 bis 299 999  €  je Betrieb" dataDxfId="52"/>
    <tableColumn id="12" name="Direktbeihilfen von 300 000 € und mehr je Betrieb" dataDxfId="51"/>
    <tableColumn id="13" name="Direktbeihilfen insgesamt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Betriebe"/>
    </ext>
  </extLst>
</table>
</file>

<file path=xl/tables/table16.xml><?xml version="1.0" encoding="utf-8"?>
<table xmlns="http://schemas.openxmlformats.org/spreadsheetml/2006/main" id="13" name="Tabelle248101214" displayName="Tabelle248101214" ref="A36:M65" totalsRowShown="0" headerRowDxfId="49" dataDxfId="47" headerRowBorderDxfId="48" tableBorderDxfId="46">
  <autoFilter ref="A36:M65"/>
  <tableColumns count="13">
    <tableColumn id="1" name="Mitgliedstaat" dataDxfId="45"/>
    <tableColumn id="2" name="Einheit" dataDxfId="44"/>
    <tableColumn id="3" name="Fußnote" dataDxfId="43"/>
    <tableColumn id="4" name="Direktbeihilfen von weniger als 0 € je Betrieb" dataDxfId="42"/>
    <tableColumn id="5" name="Direktbeihilfen von 0 bis 1 999 € je Betrieb" dataDxfId="41"/>
    <tableColumn id="6" name="Direktbeihilfen von 2 000 bis 4 999  €  je Betrieb" dataDxfId="40"/>
    <tableColumn id="7" name="Direktbeihilfen von 5 000 bis 9 999  €  je Betrieb" dataDxfId="39"/>
    <tableColumn id="8" name="Direktbeihilfen von 10 000 bis 19 999  €  je Betrieb " dataDxfId="38"/>
    <tableColumn id="9" name="Direktbeihilfen von 20 000 bis 49 999  €  je Betrieb " dataDxfId="37"/>
    <tableColumn id="10" name="Direktbeihilfen von 50 000 bis 99 999  €  je Betrieb" dataDxfId="36"/>
    <tableColumn id="11" name="Direktbeihilfen von 100 000 bis 299 999  €  je Betrieb" dataDxfId="35"/>
    <tableColumn id="12" name="Direktbeihilfen von 300 000 € und mehr je Betrieb" dataDxfId="34"/>
    <tableColumn id="13" name="Direktbeihilfen insgesamt" dataDxfId="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teil der Größenklassen an der Gesamtzahl der Betriebe"/>
    </ext>
  </extLst>
</table>
</file>

<file path=xl/tables/table17.xml><?xml version="1.0" encoding="utf-8"?>
<table xmlns="http://schemas.openxmlformats.org/spreadsheetml/2006/main" id="14" name="Tabelle179111315" displayName="Tabelle179111315" ref="A5:M34" totalsRowShown="0" headerRowDxfId="32" dataDxfId="30" headerRowBorderDxfId="31" tableBorderDxfId="29">
  <autoFilter ref="A5:M34"/>
  <tableColumns count="13">
    <tableColumn id="1" name="Mitgliedstaat" dataDxfId="28"/>
    <tableColumn id="2" name="Einheit" dataDxfId="27"/>
    <tableColumn id="3" name="Fußnote" dataDxfId="26"/>
    <tableColumn id="4" name="Direktbeihilfen von weniger als 0 € je Betrieb"/>
    <tableColumn id="5" name="Direktbeihilfen von 0 bis 1 999 € je Betrieb" dataDxfId="25"/>
    <tableColumn id="6" name="Direktbeihilfen von 2 000 bis 4 999  €  je Betrieb" dataDxfId="24"/>
    <tableColumn id="7" name="Direktbeihilfen von 5 000 bis 9 999  €  je Betrieb" dataDxfId="23"/>
    <tableColumn id="8" name="Direktbeihilfen von 10 000 bis 19 999  €  je Betrieb " dataDxfId="22"/>
    <tableColumn id="9" name="Direktbeihilfen von 20 000 bis 49 999  €  je Betrieb " dataDxfId="21"/>
    <tableColumn id="10" name="Direktbeihilfen von 50 000 bis 99 999  €  je Betrieb" dataDxfId="20"/>
    <tableColumn id="11" name="Direktbeihilfen von 100 000 bis 299 999  €  je Betrieb" dataDxfId="19"/>
    <tableColumn id="12" name="Direktbeihilfen von 300 000 € und mehr je Betrieb" dataDxfId="18"/>
    <tableColumn id="13" name="Direktbeihilfen insgesamt" dataDxfId="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Betriebe"/>
    </ext>
  </extLst>
</table>
</file>

<file path=xl/tables/table18.xml><?xml version="1.0" encoding="utf-8"?>
<table xmlns="http://schemas.openxmlformats.org/spreadsheetml/2006/main" id="15" name="Tabelle24810121416" displayName="Tabelle24810121416" ref="A36:M65" totalsRowShown="0" headerRowDxfId="16" dataDxfId="14" headerRowBorderDxfId="15" tableBorderDxfId="13">
  <autoFilter ref="A36:M65"/>
  <tableColumns count="13">
    <tableColumn id="1" name="Mitgliedstaat" dataDxfId="12"/>
    <tableColumn id="2" name="Einheit" dataDxfId="11"/>
    <tableColumn id="3" name="Fußnote" dataDxfId="10"/>
    <tableColumn id="4" name="Direktbeihilfen von weniger als 0 € je Betrieb" dataDxfId="9"/>
    <tableColumn id="5" name="Direktbeihilfen von 0 bis 1 999 € je Betrieb" dataDxfId="8"/>
    <tableColumn id="6" name="Direktbeihilfen von 2 000 bis 4 999  €  je Betrieb" dataDxfId="7"/>
    <tableColumn id="7" name="Direktbeihilfen von 5 000 bis 9 999  €  je Betrieb" dataDxfId="6"/>
    <tableColumn id="8" name="Direktbeihilfen von 10 000 bis 19 999  €  je Betrieb " dataDxfId="5"/>
    <tableColumn id="9" name="Direktbeihilfen von 20 000 bis 49 999  €  je Betrieb " dataDxfId="4"/>
    <tableColumn id="10" name="Direktbeihilfen von 50 000 bis 99 999  €  je Betrieb" dataDxfId="3"/>
    <tableColumn id="11" name="Direktbeihilfen von 100 000 bis 299 999  €  je Betrieb" dataDxfId="2"/>
    <tableColumn id="12" name="Direktbeihilfen von 300 000 € und mehr je Betrieb" dataDxfId="1"/>
    <tableColumn id="13" name="Direktbeihilfen insgesam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teil der Größenklassen an der Gesamtzahl der Betriebe"/>
    </ext>
  </extLst>
</table>
</file>

<file path=xl/tables/table2.xml><?xml version="1.0" encoding="utf-8"?>
<table xmlns="http://schemas.openxmlformats.org/spreadsheetml/2006/main" id="18" name="Tabelle2461719" displayName="Tabelle2461719" ref="A36:M65" totalsRowShown="0" headerRowDxfId="280" dataDxfId="278" headerRowBorderDxfId="279" tableBorderDxfId="277">
  <tableColumns count="13">
    <tableColumn id="1" name="Mitgliedstaat" dataDxfId="276"/>
    <tableColumn id="2" name="Einheit" dataDxfId="275"/>
    <tableColumn id="3" name="Fußnote" dataDxfId="274"/>
    <tableColumn id="4" name="Direktbeihilfen von weniger als 0 € je Betrieb" dataDxfId="273"/>
    <tableColumn id="5" name="Direktbeihilfen von 0 bis 1 999 € je Betrieb" dataDxfId="272"/>
    <tableColumn id="6" name="Direktbeihilfen von 2 000 bis 4 999  €  je Betrieb" dataDxfId="271"/>
    <tableColumn id="7" name="Direktbeihilfen von 5 000 bis 9 999  €  je Betrieb" dataDxfId="270"/>
    <tableColumn id="8" name="Direktbeihilfen von 10 000 bis 19 999  €  je Betrieb " dataDxfId="269"/>
    <tableColumn id="9" name="Direktbeihilfen von 20 000 bis 49 999  €  je Betrieb " dataDxfId="268"/>
    <tableColumn id="10" name="Direktbeihilfen von 50 000 bis 99 999  €  je Betrieb" dataDxfId="267"/>
    <tableColumn id="11" name="Direktbeihilfen von 100 000 bis 299 999  €  je Betrieb" dataDxfId="266"/>
    <tableColumn id="12" name="Direktbeihilfen von 300 000 € und mehr je Betrieb" dataDxfId="265"/>
    <tableColumn id="13" name="Direktbeihilfen insgesamt" dataDxfId="2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teil der Größenklassen an der Gesamtzahl der Betriebe"/>
    </ext>
  </extLst>
</table>
</file>

<file path=xl/tables/table3.xml><?xml version="1.0" encoding="utf-8"?>
<table xmlns="http://schemas.openxmlformats.org/spreadsheetml/2006/main" id="2" name="Tabelle153" displayName="Tabelle153" ref="A5:M34" totalsRowShown="0" headerRowDxfId="263" dataDxfId="261" headerRowBorderDxfId="262" tableBorderDxfId="260">
  <tableColumns count="13">
    <tableColumn id="1" name="Mitgliedstaat" dataDxfId="259"/>
    <tableColumn id="2" name="Einheit" dataDxfId="258"/>
    <tableColumn id="3" name="Fußnote" dataDxfId="257"/>
    <tableColumn id="4" name="Direktbeihilfen von weniger als 0 € je Betrieb"/>
    <tableColumn id="5" name="Direktbeihilfen von 0 bis _x000a_1 999 € je Betrieb" dataDxfId="256"/>
    <tableColumn id="6" name="Direktbeihilfen von 2 000 bis 4 999  €  je Betrieb" dataDxfId="255"/>
    <tableColumn id="7" name="Direktbeihilfen von 5 000 bis 9 999  €  je Betrieb" dataDxfId="254"/>
    <tableColumn id="8" name="Direktbeihilfen von 10 000 bis 19 999  €  je Betrieb " dataDxfId="253"/>
    <tableColumn id="9" name="Direktbeihilfen von 20 000 bis 49 999  €  je Betrieb " dataDxfId="252"/>
    <tableColumn id="10" name="Direktbeihilfen von 50 000 bis 99 999  €  je Betrieb" dataDxfId="251"/>
    <tableColumn id="11" name="Direktbeihilfen von 100 000 bis 299 999  €  je Betrieb" dataDxfId="250"/>
    <tableColumn id="12" name="Direktbeihilfen von 300 000 € und mehr je Betrieb" dataDxfId="249"/>
    <tableColumn id="13" name="Direktbeihilfen insgesamt" dataDxfId="2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Betriebe"/>
    </ext>
  </extLst>
</table>
</file>

<file path=xl/tables/table4.xml><?xml version="1.0" encoding="utf-8"?>
<table xmlns="http://schemas.openxmlformats.org/spreadsheetml/2006/main" id="16" name="Tabelle24617" displayName="Tabelle24617" ref="A36:M65" totalsRowShown="0" headerRowDxfId="247" dataDxfId="245" headerRowBorderDxfId="246" tableBorderDxfId="244">
  <tableColumns count="13">
    <tableColumn id="1" name="Mitgliedstaat" dataDxfId="243"/>
    <tableColumn id="2" name="Einheit" dataDxfId="242"/>
    <tableColumn id="3" name="Fußnote" dataDxfId="241"/>
    <tableColumn id="4" name="Direktbeihilfen von weniger als 0 € je Betrieb" dataDxfId="240"/>
    <tableColumn id="5" name="Direktbeihilfen von 0 bis 1 999 € je Betrieb" dataDxfId="239"/>
    <tableColumn id="6" name="Direktbeihilfen von 2 000 bis 4 999  €  je Betrieb" dataDxfId="238"/>
    <tableColumn id="7" name="Direktbeihilfen von 5 000 bis 9 999  €  je Betrieb" dataDxfId="237"/>
    <tableColumn id="8" name="Direktbeihilfen von 10 000 bis 19 999  €  je Betrieb " dataDxfId="236"/>
    <tableColumn id="9" name="Direktbeihilfen von 20 000 bis 49 999  €  je Betrieb " dataDxfId="235"/>
    <tableColumn id="10" name="Direktbeihilfen von 50 000 bis 99 999  €  je Betrieb" dataDxfId="234"/>
    <tableColumn id="11" name="Direktbeihilfen von 100 000 bis 299 999  €  je Betrieb" dataDxfId="233"/>
    <tableColumn id="12" name="Direktbeihilfen von 300 000 € und mehr je Betrieb" dataDxfId="232"/>
    <tableColumn id="13" name="Direktbeihilfen insgesamt" dataDxfId="23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teil der Größenklassen an der Gesamtzahl der Betriebe"/>
    </ext>
  </extLst>
</table>
</file>

<file path=xl/tables/table5.xml><?xml version="1.0" encoding="utf-8"?>
<table xmlns="http://schemas.openxmlformats.org/spreadsheetml/2006/main" id="4" name="Tabelle15" displayName="Tabelle15" ref="A5:M34" totalsRowShown="0" headerRowDxfId="230" dataDxfId="228" headerRowBorderDxfId="229" tableBorderDxfId="227">
  <autoFilter ref="A5:M34"/>
  <tableColumns count="13">
    <tableColumn id="1" name="Mitgliedstaat" dataDxfId="226"/>
    <tableColumn id="2" name="Einheit" dataDxfId="225"/>
    <tableColumn id="3" name="Fußnote" dataDxfId="224"/>
    <tableColumn id="4" name="Direktbeihilfen von weniger als 0 € je Betrieb"/>
    <tableColumn id="5" name="Direktbeihilfen von 0 bis 1 999 € je Betrieb" dataDxfId="223"/>
    <tableColumn id="6" name="Direktbeihilfen von 2 000 bis 4 999  €  je Betrieb" dataDxfId="222"/>
    <tableColumn id="7" name="Direktbeihilfen von 5 000 bis 9 999  €  je Betrieb" dataDxfId="221"/>
    <tableColumn id="8" name="Direktbeihilfen von 10 000 bis 19 999  €  je Betrieb " dataDxfId="220"/>
    <tableColumn id="9" name="Direktbeihilfen von 20 000 bis 49 999  €  je Betrieb " dataDxfId="219"/>
    <tableColumn id="10" name="Direktbeihilfen von 50 000 bis 99 999  €  je Betrieb" dataDxfId="218"/>
    <tableColumn id="11" name="Direktbeihilfen von 100 000 bis 299 999  €  je Betrieb" dataDxfId="217"/>
    <tableColumn id="12" name="Direktbeihilfen von 300 000 € und mehr je Betrieb" dataDxfId="216"/>
    <tableColumn id="13" name="Direktbeihilfen insgesamt" dataDxfId="2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Betriebe"/>
    </ext>
  </extLst>
</table>
</file>

<file path=xl/tables/table6.xml><?xml version="1.0" encoding="utf-8"?>
<table xmlns="http://schemas.openxmlformats.org/spreadsheetml/2006/main" id="5" name="Tabelle246" displayName="Tabelle246" ref="A36:M65" totalsRowShown="0" headerRowDxfId="214" dataDxfId="212" headerRowBorderDxfId="213" tableBorderDxfId="211">
  <autoFilter ref="A36:M65"/>
  <tableColumns count="13">
    <tableColumn id="1" name="Mitgliedstaat" dataDxfId="210"/>
    <tableColumn id="2" name="Einheit" dataDxfId="209"/>
    <tableColumn id="3" name="Fußnote" dataDxfId="208"/>
    <tableColumn id="4" name="Direktbeihilfen von weniger als 0 € je Betrieb" dataDxfId="207"/>
    <tableColumn id="5" name="Direktbeihilfen von 0 bis 1 999 € je Betrieb" dataDxfId="206"/>
    <tableColumn id="6" name="Direktbeihilfen von 2 000 bis 4 999  €  je Betrieb" dataDxfId="205"/>
    <tableColumn id="7" name="Direktbeihilfen von 5 000 bis 9 999  €  je Betrieb" dataDxfId="204"/>
    <tableColumn id="8" name="Direktbeihilfen von 10 000 bis 19 999  €  je Betrieb " dataDxfId="203"/>
    <tableColumn id="9" name="Direktbeihilfen von 20 000 bis 49 999  €  je Betrieb " dataDxfId="202"/>
    <tableColumn id="10" name="Direktbeihilfen von 50 000 bis 99 999  €  je Betrieb" dataDxfId="201"/>
    <tableColumn id="11" name="Direktbeihilfen von 100 000 bis 299 999  €  je Betrieb" dataDxfId="200"/>
    <tableColumn id="12" name="Direktbeihilfen von 300 000 € und mehr je Betrieb" dataDxfId="199"/>
    <tableColumn id="13" name="Direktbeihilfen insgesamt" dataDxfId="198">
      <calculatedColumnFormula>SUM(Tabelle246[[#This Row],[Direktbeihilfen von weniger als 0 € je Betrieb]:[Direktbeihilfen von 300 000 € und mehr je Betrieb]])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teil der Größenklassen an der Gesamtzahl der Betriebe"/>
    </ext>
  </extLst>
</table>
</file>

<file path=xl/tables/table7.xml><?xml version="1.0" encoding="utf-8"?>
<table xmlns="http://schemas.openxmlformats.org/spreadsheetml/2006/main" id="1" name="Tabelle1" displayName="Tabelle1" ref="A5:M34" totalsRowShown="0" headerRowDxfId="197" dataDxfId="195" headerRowBorderDxfId="196" tableBorderDxfId="194">
  <autoFilter ref="A5:M34"/>
  <tableColumns count="13">
    <tableColumn id="1" name="Mitgliedstaat" dataDxfId="193"/>
    <tableColumn id="2" name="Einheit" dataDxfId="192"/>
    <tableColumn id="3" name="Fußnote" dataDxfId="191"/>
    <tableColumn id="4" name="Direktbeihilfen von weniger als 0 € je Betrieb"/>
    <tableColumn id="5" name="Direktbeihilfen von 0 bis 1 999 € je Betrieb" dataDxfId="190"/>
    <tableColumn id="6" name="Direktbeihilfen von 2 000 bis 4 999  €  je Betrieb" dataDxfId="189"/>
    <tableColumn id="7" name="Direktbeihilfen von 5 000 bis 9 999  €  je Betrieb" dataDxfId="188"/>
    <tableColumn id="8" name="Direktbeihilfen von 10 000 bis 19 999  €  je Betrieb " dataDxfId="187"/>
    <tableColumn id="9" name="Direktbeihilfen von 20 000 bis 49 999  €  je Betrieb " dataDxfId="186"/>
    <tableColumn id="10" name="Direktbeihilfen von 50 000 bis 99 999  €  je Betrieb" dataDxfId="185"/>
    <tableColumn id="11" name="Direktbeihilfen von 100 000 bis 299 999  €  je Betrieb" dataDxfId="184"/>
    <tableColumn id="12" name="Direktbeihilfen von 300 000 € und mehr je Betrieb" dataDxfId="183"/>
    <tableColumn id="13" name="Direktbeihilfen insgesamt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Betriebe"/>
    </ext>
  </extLst>
</table>
</file>

<file path=xl/tables/table8.xml><?xml version="1.0" encoding="utf-8"?>
<table xmlns="http://schemas.openxmlformats.org/spreadsheetml/2006/main" id="3" name="Tabelle24" displayName="Tabelle24" ref="A36:M65" totalsRowShown="0" headerRowDxfId="181" dataDxfId="179" headerRowBorderDxfId="180" tableBorderDxfId="178">
  <autoFilter ref="A36:M65"/>
  <tableColumns count="13">
    <tableColumn id="1" name="Mitgliedstaat" dataDxfId="177"/>
    <tableColumn id="2" name="Einheit" dataDxfId="176"/>
    <tableColumn id="3" name="Fußnote" dataDxfId="175"/>
    <tableColumn id="4" name="Direktbeihilfen von weniger als 0 € je Betrieb" dataDxfId="174"/>
    <tableColumn id="5" name="Direktbeihilfen von 0 bis 1 999 € je Betrieb" dataDxfId="173"/>
    <tableColumn id="6" name="Direktbeihilfen von 2 000 bis 4 999  €  je Betrieb" dataDxfId="172"/>
    <tableColumn id="7" name="Direktbeihilfen von 5 000 bis 9 999  €  je Betrieb" dataDxfId="171"/>
    <tableColumn id="8" name="Direktbeihilfen von 10 000 bis 19 999  €  je Betrieb " dataDxfId="170"/>
    <tableColumn id="9" name="Direktbeihilfen von 20 000 bis 49 999  €  je Betrieb " dataDxfId="169"/>
    <tableColumn id="10" name="Direktbeihilfen von 50 000 bis 99 999  €  je Betrieb" dataDxfId="168"/>
    <tableColumn id="11" name="Direktbeihilfen von 100 000 bis 299 999  €  je Betrieb" dataDxfId="167"/>
    <tableColumn id="12" name="Direktbeihilfen von 300 000 € und mehr je Betrieb" dataDxfId="166"/>
    <tableColumn id="13" name="Direktbeihilfen insgesamt" dataDxfId="165">
      <calculatedColumnFormula>SUM(D37:L37)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teil der Größenklassen an der Gesamtzahl der Betriebe"/>
    </ext>
  </extLst>
</table>
</file>

<file path=xl/tables/table9.xml><?xml version="1.0" encoding="utf-8"?>
<table xmlns="http://schemas.openxmlformats.org/spreadsheetml/2006/main" id="6" name="Tabelle17" displayName="Tabelle17" ref="A5:M34" totalsRowShown="0" headerRowDxfId="164" dataDxfId="162" headerRowBorderDxfId="163" tableBorderDxfId="161">
  <autoFilter ref="A5:M34"/>
  <tableColumns count="13">
    <tableColumn id="1" name="Mitgliedstaat" dataDxfId="160"/>
    <tableColumn id="2" name="Einheit" dataDxfId="159"/>
    <tableColumn id="3" name="Fußnote" dataDxfId="158"/>
    <tableColumn id="4" name="Direktbeihilfen von weniger als 0 € je Betrieb"/>
    <tableColumn id="5" name="Direktbeihilfen von 0 bis 1 999 € je Betrieb" dataDxfId="157"/>
    <tableColumn id="6" name="Direktbeihilfen von 2 000 bis 4 999  €  je Betrieb" dataDxfId="156"/>
    <tableColumn id="7" name="Direktbeihilfen von 5 000 bis 9 999  €  je Betrieb" dataDxfId="155"/>
    <tableColumn id="8" name="Direktbeihilfen von 10 000 bis 19 999  €  je Betrieb " dataDxfId="154"/>
    <tableColumn id="9" name="Direktbeihilfen von 20 000 bis 49 999  €  je Betrieb " dataDxfId="153"/>
    <tableColumn id="10" name="Direktbeihilfen von 50 000 bis 99 999  €  je Betrieb" dataDxfId="152"/>
    <tableColumn id="11" name="Direktbeihilfen von 100 000 bis 299 999  €  je Betrieb" dataDxfId="151"/>
    <tableColumn id="12" name="Direktbeihilfen von 300 000 € und mehr je Betrieb" dataDxfId="150"/>
    <tableColumn id="13" name="Direktbeihilfen insgesamt" dataDxfId="149">
      <calculatedColumnFormula>SUM(D6:L6)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Zahl der Betrieb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8"/>
  <sheetViews>
    <sheetView tabSelected="1" zoomScaleNormal="100" workbookViewId="0"/>
  </sheetViews>
  <sheetFormatPr baseColWidth="10" defaultColWidth="9.140625" defaultRowHeight="16.5"/>
  <cols>
    <col min="1" max="1" width="16.85546875" style="4" customWidth="1"/>
    <col min="2" max="2" width="12.140625" style="4" customWidth="1"/>
    <col min="3" max="3" width="8.7109375" style="4" customWidth="1"/>
    <col min="4" max="4" width="21.140625" style="18" customWidth="1"/>
    <col min="5" max="13" width="21.140625" style="4" customWidth="1"/>
    <col min="14" max="16384" width="9.140625" style="4"/>
  </cols>
  <sheetData>
    <row r="1" spans="1:16" ht="17.25">
      <c r="A1" s="35" t="s">
        <v>71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ht="17.25">
      <c r="A2" s="20" t="s">
        <v>55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16"/>
    </row>
    <row r="3" spans="1:16">
      <c r="A3" s="20" t="s">
        <v>4</v>
      </c>
      <c r="B3" s="20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6">
      <c r="A4" s="20" t="s">
        <v>53</v>
      </c>
      <c r="B4" s="20"/>
      <c r="C4" s="20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6" ht="39.75" customHeight="1">
      <c r="A5" s="61" t="s">
        <v>5</v>
      </c>
      <c r="B5" s="47" t="s">
        <v>39</v>
      </c>
      <c r="C5" s="47" t="s">
        <v>40</v>
      </c>
      <c r="D5" s="54" t="s">
        <v>36</v>
      </c>
      <c r="E5" s="55" t="s">
        <v>70</v>
      </c>
      <c r="F5" s="55" t="s">
        <v>49</v>
      </c>
      <c r="G5" s="55" t="s">
        <v>50</v>
      </c>
      <c r="H5" s="55" t="s">
        <v>51</v>
      </c>
      <c r="I5" s="55" t="s">
        <v>48</v>
      </c>
      <c r="J5" s="55" t="s">
        <v>47</v>
      </c>
      <c r="K5" s="55" t="s">
        <v>46</v>
      </c>
      <c r="L5" s="55" t="s">
        <v>45</v>
      </c>
      <c r="M5" s="56" t="s">
        <v>37</v>
      </c>
    </row>
    <row r="6" spans="1:16" ht="17.25">
      <c r="A6" s="36" t="s">
        <v>8</v>
      </c>
      <c r="B6" s="57" t="s">
        <v>43</v>
      </c>
      <c r="C6" s="36"/>
      <c r="D6" s="5">
        <v>9.4E-2</v>
      </c>
      <c r="E6" s="6">
        <v>5.0439999999999996</v>
      </c>
      <c r="F6" s="6">
        <v>5.9409999999999998</v>
      </c>
      <c r="G6" s="6">
        <v>5.8259999999999996</v>
      </c>
      <c r="H6" s="6">
        <v>7.859</v>
      </c>
      <c r="I6" s="6">
        <v>7.1639999999999997</v>
      </c>
      <c r="J6" s="7">
        <v>1.2609999999999999</v>
      </c>
      <c r="K6" s="7">
        <v>0.112</v>
      </c>
      <c r="L6" s="8">
        <v>1E-3</v>
      </c>
      <c r="M6" s="6">
        <v>33.302</v>
      </c>
      <c r="N6" s="9"/>
      <c r="P6" s="6"/>
    </row>
    <row r="7" spans="1:16" ht="17.25">
      <c r="A7" s="36" t="s">
        <v>9</v>
      </c>
      <c r="B7" s="57" t="s">
        <v>43</v>
      </c>
      <c r="C7" s="36"/>
      <c r="D7" s="5">
        <v>1E-3</v>
      </c>
      <c r="E7" s="6">
        <v>23.085999999999999</v>
      </c>
      <c r="F7" s="6">
        <v>12.115</v>
      </c>
      <c r="G7" s="6">
        <v>10.026999999999999</v>
      </c>
      <c r="H7" s="6">
        <v>6.4260000000000002</v>
      </c>
      <c r="I7" s="6">
        <v>3.7650000000000001</v>
      </c>
      <c r="J7" s="7">
        <v>1.597</v>
      </c>
      <c r="K7" s="7">
        <v>1.3660000000000001</v>
      </c>
      <c r="L7" s="8">
        <v>0.216</v>
      </c>
      <c r="M7" s="6">
        <v>58.598999999999997</v>
      </c>
      <c r="N7" s="9"/>
    </row>
    <row r="8" spans="1:16" ht="17.25">
      <c r="A8" s="36" t="s">
        <v>10</v>
      </c>
      <c r="B8" s="57" t="s">
        <v>43</v>
      </c>
      <c r="C8" s="36"/>
      <c r="D8" s="48" t="s">
        <v>59</v>
      </c>
      <c r="E8" s="6">
        <v>11.224</v>
      </c>
      <c r="F8" s="6">
        <v>5.9889999999999999</v>
      </c>
      <c r="G8" s="6">
        <v>3.8460000000000001</v>
      </c>
      <c r="H8" s="6">
        <v>3.3210000000000002</v>
      </c>
      <c r="I8" s="6">
        <v>2.831</v>
      </c>
      <c r="J8" s="7">
        <v>1.123</v>
      </c>
      <c r="K8" s="7">
        <v>1.3029999999999999</v>
      </c>
      <c r="L8" s="8">
        <v>0.64800000000000002</v>
      </c>
      <c r="M8" s="6">
        <v>30.285</v>
      </c>
      <c r="N8" s="9"/>
    </row>
    <row r="9" spans="1:16" ht="17.25">
      <c r="A9" s="36" t="s">
        <v>11</v>
      </c>
      <c r="B9" s="57" t="s">
        <v>43</v>
      </c>
      <c r="C9" s="36"/>
      <c r="D9" s="5">
        <v>6.7000000000000004E-2</v>
      </c>
      <c r="E9" s="6">
        <v>10.727</v>
      </c>
      <c r="F9" s="6">
        <v>7.4989999999999997</v>
      </c>
      <c r="G9" s="6">
        <v>4.4850000000000003</v>
      </c>
      <c r="H9" s="6">
        <v>3.8290000000000002</v>
      </c>
      <c r="I9" s="6">
        <v>4.8529999999999998</v>
      </c>
      <c r="J9" s="7">
        <v>2.8879999999999999</v>
      </c>
      <c r="K9" s="7">
        <v>1.629</v>
      </c>
      <c r="L9" s="8">
        <v>0.11</v>
      </c>
      <c r="M9" s="6">
        <v>36.087000000000003</v>
      </c>
      <c r="N9" s="9"/>
    </row>
    <row r="10" spans="1:16" ht="17.25">
      <c r="A10" s="37" t="s">
        <v>12</v>
      </c>
      <c r="B10" s="58" t="s">
        <v>43</v>
      </c>
      <c r="C10" s="37"/>
      <c r="D10" s="11">
        <v>1.4E-2</v>
      </c>
      <c r="E10" s="12">
        <v>80.512</v>
      </c>
      <c r="F10" s="12">
        <v>61.125999999999998</v>
      </c>
      <c r="G10" s="12">
        <v>49.191000000000003</v>
      </c>
      <c r="H10" s="12">
        <v>53.804000000000002</v>
      </c>
      <c r="I10" s="12">
        <v>44.9</v>
      </c>
      <c r="J10" s="13">
        <v>9.4359999999999999</v>
      </c>
      <c r="K10" s="13">
        <v>4.2060000000000004</v>
      </c>
      <c r="L10" s="14">
        <v>1.0880000000000001</v>
      </c>
      <c r="M10" s="39">
        <v>304.27699999999999</v>
      </c>
      <c r="N10" s="9"/>
    </row>
    <row r="11" spans="1:16" ht="17.25">
      <c r="A11" s="36" t="s">
        <v>13</v>
      </c>
      <c r="B11" s="57" t="s">
        <v>43</v>
      </c>
      <c r="C11" s="36"/>
      <c r="D11" s="48" t="s">
        <v>59</v>
      </c>
      <c r="E11" s="15">
        <v>7.2380000000000004</v>
      </c>
      <c r="F11" s="15">
        <v>2.5249999999999999</v>
      </c>
      <c r="G11" s="15">
        <v>1.345</v>
      </c>
      <c r="H11" s="15">
        <v>1</v>
      </c>
      <c r="I11" s="15">
        <v>1.03</v>
      </c>
      <c r="J11" s="7">
        <v>0.49299999999999999</v>
      </c>
      <c r="K11" s="7">
        <v>0.33600000000000002</v>
      </c>
      <c r="L11" s="8">
        <v>6.3E-2</v>
      </c>
      <c r="M11" s="6">
        <v>14.03</v>
      </c>
      <c r="N11" s="9"/>
    </row>
    <row r="12" spans="1:16" ht="17.25">
      <c r="A12" s="36" t="s">
        <v>14</v>
      </c>
      <c r="B12" s="57" t="s">
        <v>43</v>
      </c>
      <c r="C12" s="36"/>
      <c r="D12" s="7">
        <v>1.0999999999999999E-2</v>
      </c>
      <c r="E12" s="15">
        <v>16.405999999999999</v>
      </c>
      <c r="F12" s="15">
        <v>33.738999999999997</v>
      </c>
      <c r="G12" s="15">
        <v>33.756</v>
      </c>
      <c r="H12" s="15">
        <v>24.646999999999998</v>
      </c>
      <c r="I12" s="15">
        <v>12.025</v>
      </c>
      <c r="J12" s="7">
        <v>1.3859999999999999</v>
      </c>
      <c r="K12" s="7">
        <v>0.17399999999999999</v>
      </c>
      <c r="L12" s="48" t="s">
        <v>59</v>
      </c>
      <c r="M12" s="6">
        <v>122.14400000000001</v>
      </c>
      <c r="N12" s="9"/>
    </row>
    <row r="13" spans="1:16" ht="17.25">
      <c r="A13" s="36" t="s">
        <v>15</v>
      </c>
      <c r="B13" s="57" t="s">
        <v>43</v>
      </c>
      <c r="C13" s="36"/>
      <c r="D13" s="7">
        <v>1E-3</v>
      </c>
      <c r="E13" s="15">
        <v>377.40300000000002</v>
      </c>
      <c r="F13" s="15">
        <v>134.31800000000001</v>
      </c>
      <c r="G13" s="15">
        <v>63.03</v>
      </c>
      <c r="H13" s="15">
        <v>29.893999999999998</v>
      </c>
      <c r="I13" s="15">
        <v>9.5020000000000007</v>
      </c>
      <c r="J13" s="7">
        <v>0.75600000000000001</v>
      </c>
      <c r="K13" s="7">
        <v>7.5999999999999998E-2</v>
      </c>
      <c r="L13" s="48" t="s">
        <v>59</v>
      </c>
      <c r="M13" s="6">
        <v>614.98</v>
      </c>
      <c r="N13" s="9"/>
    </row>
    <row r="14" spans="1:16" ht="17.25">
      <c r="A14" s="36" t="s">
        <v>16</v>
      </c>
      <c r="B14" s="57" t="s">
        <v>43</v>
      </c>
      <c r="C14" s="36"/>
      <c r="D14" s="7">
        <v>0.32</v>
      </c>
      <c r="E14" s="15">
        <v>295.85700000000003</v>
      </c>
      <c r="F14" s="15">
        <v>130.452</v>
      </c>
      <c r="G14" s="15">
        <v>77.721999999999994</v>
      </c>
      <c r="H14" s="15">
        <v>62.521000000000001</v>
      </c>
      <c r="I14" s="15">
        <v>49.966000000000001</v>
      </c>
      <c r="J14" s="7">
        <v>11.148</v>
      </c>
      <c r="K14" s="7">
        <v>3.2480000000000002</v>
      </c>
      <c r="L14" s="8">
        <v>0.29799999999999999</v>
      </c>
      <c r="M14" s="6">
        <v>631.53200000000004</v>
      </c>
      <c r="N14" s="9"/>
    </row>
    <row r="15" spans="1:16" ht="17.25">
      <c r="A15" s="36" t="s">
        <v>17</v>
      </c>
      <c r="B15" s="57" t="s">
        <v>43</v>
      </c>
      <c r="C15" s="36"/>
      <c r="D15" s="7">
        <v>1.349</v>
      </c>
      <c r="E15" s="15">
        <v>50.191000000000003</v>
      </c>
      <c r="F15" s="15">
        <v>31.672000000000001</v>
      </c>
      <c r="G15" s="15">
        <v>32.106999999999999</v>
      </c>
      <c r="H15" s="15">
        <v>60.401000000000003</v>
      </c>
      <c r="I15" s="15">
        <v>106.107</v>
      </c>
      <c r="J15" s="7">
        <v>26.795000000000002</v>
      </c>
      <c r="K15" s="7">
        <v>2.5419999999999998</v>
      </c>
      <c r="L15" s="8">
        <v>0.11700000000000001</v>
      </c>
      <c r="M15" s="6">
        <v>311.28100000000001</v>
      </c>
      <c r="N15" s="9"/>
    </row>
    <row r="16" spans="1:16" ht="17.25">
      <c r="A16" s="36" t="s">
        <v>18</v>
      </c>
      <c r="B16" s="57" t="s">
        <v>43</v>
      </c>
      <c r="C16" s="36"/>
      <c r="D16" s="7">
        <v>0.221</v>
      </c>
      <c r="E16" s="15">
        <v>78.716999999999999</v>
      </c>
      <c r="F16" s="15">
        <v>16.911000000000001</v>
      </c>
      <c r="G16" s="15">
        <v>6.4160000000000004</v>
      </c>
      <c r="H16" s="15">
        <v>4.1840000000000002</v>
      </c>
      <c r="I16" s="15">
        <v>2.0939999999999999</v>
      </c>
      <c r="J16" s="7">
        <v>0.33200000000000002</v>
      </c>
      <c r="K16" s="7">
        <v>0.123</v>
      </c>
      <c r="L16" s="8">
        <v>4.2999999999999997E-2</v>
      </c>
      <c r="M16" s="6">
        <v>109.041</v>
      </c>
      <c r="N16" s="9"/>
    </row>
    <row r="17" spans="1:14" ht="17.25">
      <c r="A17" s="36" t="s">
        <v>19</v>
      </c>
      <c r="B17" s="57" t="s">
        <v>43</v>
      </c>
      <c r="C17" s="36"/>
      <c r="D17" s="7">
        <v>0.91700000000000004</v>
      </c>
      <c r="E17" s="15">
        <v>465.54</v>
      </c>
      <c r="F17" s="15">
        <v>135.26599999999999</v>
      </c>
      <c r="G17" s="15">
        <v>66.894000000000005</v>
      </c>
      <c r="H17" s="15">
        <v>42.470999999999997</v>
      </c>
      <c r="I17" s="15">
        <v>26.456</v>
      </c>
      <c r="J17" s="7">
        <v>6.6269999999999998</v>
      </c>
      <c r="K17" s="7">
        <v>2.14</v>
      </c>
      <c r="L17" s="8">
        <v>0.16400000000000001</v>
      </c>
      <c r="M17" s="6">
        <v>746.47500000000002</v>
      </c>
      <c r="N17" s="9"/>
    </row>
    <row r="18" spans="1:14" ht="17.25">
      <c r="A18" s="36" t="s">
        <v>20</v>
      </c>
      <c r="B18" s="57" t="s">
        <v>43</v>
      </c>
      <c r="C18" s="36"/>
      <c r="D18" s="7">
        <v>5.0000000000000001E-3</v>
      </c>
      <c r="E18" s="15">
        <v>26.739000000000001</v>
      </c>
      <c r="F18" s="15">
        <v>2.5710000000000002</v>
      </c>
      <c r="G18" s="15">
        <v>0.878</v>
      </c>
      <c r="H18" s="15">
        <v>0.52800000000000002</v>
      </c>
      <c r="I18" s="15">
        <v>0.27500000000000002</v>
      </c>
      <c r="J18" s="7">
        <v>0.06</v>
      </c>
      <c r="K18" s="7">
        <v>7.0000000000000001E-3</v>
      </c>
      <c r="L18" s="48" t="s">
        <v>59</v>
      </c>
      <c r="M18" s="6">
        <v>31.062999999999999</v>
      </c>
      <c r="N18" s="9"/>
    </row>
    <row r="19" spans="1:14" ht="17.25">
      <c r="A19" s="36" t="s">
        <v>21</v>
      </c>
      <c r="B19" s="57" t="s">
        <v>43</v>
      </c>
      <c r="C19" s="36"/>
      <c r="D19" s="48" t="s">
        <v>59</v>
      </c>
      <c r="E19" s="15">
        <v>37.567</v>
      </c>
      <c r="F19" s="15">
        <v>8.0419999999999998</v>
      </c>
      <c r="G19" s="15">
        <v>3.5950000000000002</v>
      </c>
      <c r="H19" s="15">
        <v>2.4660000000000002</v>
      </c>
      <c r="I19" s="15">
        <v>1.972</v>
      </c>
      <c r="J19" s="7">
        <v>0.71699999999999997</v>
      </c>
      <c r="K19" s="7">
        <v>0.371</v>
      </c>
      <c r="L19" s="8">
        <v>6.3E-2</v>
      </c>
      <c r="M19" s="6">
        <v>54.792999999999999</v>
      </c>
      <c r="N19" s="9"/>
    </row>
    <row r="20" spans="1:14" ht="17.25">
      <c r="A20" s="36" t="s">
        <v>22</v>
      </c>
      <c r="B20" s="57" t="s">
        <v>43</v>
      </c>
      <c r="C20" s="36"/>
      <c r="D20" s="7">
        <v>0.02</v>
      </c>
      <c r="E20" s="15">
        <v>75.326999999999998</v>
      </c>
      <c r="F20" s="15">
        <v>22.084</v>
      </c>
      <c r="G20" s="15">
        <v>9.3989999999999991</v>
      </c>
      <c r="H20" s="15">
        <v>6.6429999999999998</v>
      </c>
      <c r="I20" s="15">
        <v>4.3680000000000003</v>
      </c>
      <c r="J20" s="7">
        <v>0.95199999999999996</v>
      </c>
      <c r="K20" s="7">
        <v>0.309</v>
      </c>
      <c r="L20" s="8">
        <v>6.8000000000000005E-2</v>
      </c>
      <c r="M20" s="6">
        <v>119.17</v>
      </c>
      <c r="N20" s="9"/>
    </row>
    <row r="21" spans="1:14" ht="17.25">
      <c r="A21" s="36" t="s">
        <v>23</v>
      </c>
      <c r="B21" s="57" t="s">
        <v>43</v>
      </c>
      <c r="C21" s="36"/>
      <c r="D21" s="48" t="s">
        <v>59</v>
      </c>
      <c r="E21" s="15">
        <v>0.24399999999999999</v>
      </c>
      <c r="F21" s="15">
        <v>0.192</v>
      </c>
      <c r="G21" s="15">
        <v>0.17799999999999999</v>
      </c>
      <c r="H21" s="15">
        <v>0.33800000000000002</v>
      </c>
      <c r="I21" s="15">
        <v>0.621</v>
      </c>
      <c r="J21" s="7">
        <v>9.2999999999999999E-2</v>
      </c>
      <c r="K21" s="7">
        <v>7.0000000000000001E-3</v>
      </c>
      <c r="L21" s="48" t="s">
        <v>59</v>
      </c>
      <c r="M21" s="6">
        <v>1.673</v>
      </c>
      <c r="N21" s="9"/>
    </row>
    <row r="22" spans="1:14" ht="17.25">
      <c r="A22" s="36" t="s">
        <v>24</v>
      </c>
      <c r="B22" s="57" t="s">
        <v>43</v>
      </c>
      <c r="C22" s="36"/>
      <c r="D22" s="7">
        <v>0.11700000000000001</v>
      </c>
      <c r="E22" s="15">
        <v>93.784000000000006</v>
      </c>
      <c r="F22" s="15">
        <v>31.684000000000001</v>
      </c>
      <c r="G22" s="15">
        <v>14.616</v>
      </c>
      <c r="H22" s="15">
        <v>9.9700000000000006</v>
      </c>
      <c r="I22" s="15">
        <v>8.3279999999999994</v>
      </c>
      <c r="J22" s="7">
        <v>2.9329999999999998</v>
      </c>
      <c r="K22" s="7">
        <v>1.524</v>
      </c>
      <c r="L22" s="8">
        <v>0.30199999999999999</v>
      </c>
      <c r="M22" s="6">
        <v>163.25800000000001</v>
      </c>
      <c r="N22" s="9"/>
    </row>
    <row r="23" spans="1:14" ht="17.25">
      <c r="A23" s="36" t="s">
        <v>25</v>
      </c>
      <c r="B23" s="57" t="s">
        <v>43</v>
      </c>
      <c r="C23" s="36"/>
      <c r="D23" s="48" t="s">
        <v>59</v>
      </c>
      <c r="E23" s="15">
        <v>4.4640000000000004</v>
      </c>
      <c r="F23" s="15">
        <v>0.13700000000000001</v>
      </c>
      <c r="G23" s="15">
        <v>5.6000000000000001E-2</v>
      </c>
      <c r="H23" s="15">
        <v>5.2999999999999999E-2</v>
      </c>
      <c r="I23" s="15">
        <v>3.5999999999999997E-2</v>
      </c>
      <c r="J23" s="7">
        <v>7.0000000000000001E-3</v>
      </c>
      <c r="K23" s="48" t="s">
        <v>59</v>
      </c>
      <c r="L23" s="48" t="s">
        <v>59</v>
      </c>
      <c r="M23" s="6">
        <v>4.7530000000000001</v>
      </c>
      <c r="N23" s="9"/>
    </row>
    <row r="24" spans="1:14" ht="17.25">
      <c r="A24" s="36" t="s">
        <v>26</v>
      </c>
      <c r="B24" s="57" t="s">
        <v>43</v>
      </c>
      <c r="C24" s="36"/>
      <c r="D24" s="48" t="s">
        <v>59</v>
      </c>
      <c r="E24" s="15">
        <v>4.3609999999999998</v>
      </c>
      <c r="F24" s="15">
        <v>8.1140000000000008</v>
      </c>
      <c r="G24" s="15">
        <v>7.9770000000000003</v>
      </c>
      <c r="H24" s="15">
        <v>11.348000000000001</v>
      </c>
      <c r="I24" s="15">
        <v>9.9290000000000003</v>
      </c>
      <c r="J24" s="7">
        <v>1.2949999999999999</v>
      </c>
      <c r="K24" s="7">
        <v>0.191</v>
      </c>
      <c r="L24" s="8">
        <v>7.0000000000000001E-3</v>
      </c>
      <c r="M24" s="6">
        <v>43.222000000000001</v>
      </c>
      <c r="N24" s="9"/>
    </row>
    <row r="25" spans="1:14" ht="17.25">
      <c r="A25" s="36" t="s">
        <v>27</v>
      </c>
      <c r="B25" s="57" t="s">
        <v>43</v>
      </c>
      <c r="C25" s="36"/>
      <c r="D25" s="7">
        <v>4.0000000000000001E-3</v>
      </c>
      <c r="E25" s="15">
        <v>28.346</v>
      </c>
      <c r="F25" s="15">
        <v>29.888000000000002</v>
      </c>
      <c r="G25" s="15">
        <v>24.271000000000001</v>
      </c>
      <c r="H25" s="15">
        <v>15.736000000000001</v>
      </c>
      <c r="I25" s="15">
        <v>4.2889999999999997</v>
      </c>
      <c r="J25" s="7">
        <v>0.38100000000000001</v>
      </c>
      <c r="K25" s="7">
        <v>7.9000000000000001E-2</v>
      </c>
      <c r="L25" s="8">
        <v>7.0000000000000001E-3</v>
      </c>
      <c r="M25" s="6">
        <v>103.001</v>
      </c>
      <c r="N25" s="9"/>
    </row>
    <row r="26" spans="1:14" ht="17.25">
      <c r="A26" s="36" t="s">
        <v>28</v>
      </c>
      <c r="B26" s="57" t="s">
        <v>43</v>
      </c>
      <c r="C26" s="36"/>
      <c r="D26" s="7">
        <v>0.11600000000000001</v>
      </c>
      <c r="E26" s="15">
        <v>878.68399999999997</v>
      </c>
      <c r="F26" s="15">
        <v>227.352</v>
      </c>
      <c r="G26" s="15">
        <v>107.319</v>
      </c>
      <c r="H26" s="15">
        <v>41.780999999999999</v>
      </c>
      <c r="I26" s="15">
        <v>11.224</v>
      </c>
      <c r="J26" s="7">
        <v>2.2530000000000001</v>
      </c>
      <c r="K26" s="7">
        <v>0.874</v>
      </c>
      <c r="L26" s="8">
        <v>7.9000000000000001E-2</v>
      </c>
      <c r="M26" s="6">
        <v>1269.682</v>
      </c>
      <c r="N26" s="9"/>
    </row>
    <row r="27" spans="1:14" ht="17.25">
      <c r="A27" s="36" t="s">
        <v>29</v>
      </c>
      <c r="B27" s="57" t="s">
        <v>43</v>
      </c>
      <c r="C27" s="36"/>
      <c r="D27" s="7">
        <v>6.6000000000000003E-2</v>
      </c>
      <c r="E27" s="15">
        <v>120.70399999999999</v>
      </c>
      <c r="F27" s="15">
        <v>23.462</v>
      </c>
      <c r="G27" s="15">
        <v>9.7379999999999995</v>
      </c>
      <c r="H27" s="15">
        <v>7.1669999999999998</v>
      </c>
      <c r="I27" s="15">
        <v>4.9980000000000002</v>
      </c>
      <c r="J27" s="7">
        <v>1.8340000000000001</v>
      </c>
      <c r="K27" s="7">
        <v>0.78700000000000003</v>
      </c>
      <c r="L27" s="8">
        <v>4.1000000000000002E-2</v>
      </c>
      <c r="M27" s="6">
        <v>168.797</v>
      </c>
      <c r="N27" s="9"/>
    </row>
    <row r="28" spans="1:14" ht="17.25">
      <c r="A28" s="36" t="s">
        <v>30</v>
      </c>
      <c r="B28" s="57" t="s">
        <v>43</v>
      </c>
      <c r="C28" s="36"/>
      <c r="D28" s="7">
        <v>0.13600000000000001</v>
      </c>
      <c r="E28" s="15">
        <v>665.17700000000002</v>
      </c>
      <c r="F28" s="15">
        <v>51.6</v>
      </c>
      <c r="G28" s="15">
        <v>27.637</v>
      </c>
      <c r="H28" s="15">
        <v>15.72</v>
      </c>
      <c r="I28" s="15">
        <v>9.3480000000000008</v>
      </c>
      <c r="J28" s="7">
        <v>3.0739999999999998</v>
      </c>
      <c r="K28" s="7">
        <v>1.772</v>
      </c>
      <c r="L28" s="8">
        <v>0.308</v>
      </c>
      <c r="M28" s="6">
        <v>774.77200000000005</v>
      </c>
      <c r="N28" s="9"/>
    </row>
    <row r="29" spans="1:14" ht="17.25">
      <c r="A29" s="36" t="s">
        <v>31</v>
      </c>
      <c r="B29" s="57" t="s">
        <v>43</v>
      </c>
      <c r="C29" s="36"/>
      <c r="D29" s="48" t="s">
        <v>59</v>
      </c>
      <c r="E29" s="15">
        <v>37.85</v>
      </c>
      <c r="F29" s="15">
        <v>11.475</v>
      </c>
      <c r="G29" s="15">
        <v>3.6</v>
      </c>
      <c r="H29" s="15">
        <v>1.3740000000000001</v>
      </c>
      <c r="I29" s="15">
        <v>0.41099999999999998</v>
      </c>
      <c r="J29" s="7">
        <v>3.5000000000000003E-2</v>
      </c>
      <c r="K29" s="7">
        <v>0.01</v>
      </c>
      <c r="L29" s="8">
        <v>7.0000000000000001E-3</v>
      </c>
      <c r="M29" s="6">
        <v>54.762</v>
      </c>
      <c r="N29" s="9"/>
    </row>
    <row r="30" spans="1:14" ht="17.25">
      <c r="A30" s="36" t="s">
        <v>32</v>
      </c>
      <c r="B30" s="57" t="s">
        <v>43</v>
      </c>
      <c r="C30" s="36"/>
      <c r="D30" s="48" t="s">
        <v>59</v>
      </c>
      <c r="E30" s="15">
        <v>9.0939999999999994</v>
      </c>
      <c r="F30" s="15">
        <v>3.3359999999999999</v>
      </c>
      <c r="G30" s="15">
        <v>1.7989999999999999</v>
      </c>
      <c r="H30" s="15">
        <v>1.2749999999999999</v>
      </c>
      <c r="I30" s="15">
        <v>1.0389999999999999</v>
      </c>
      <c r="J30" s="7">
        <v>0.57899999999999996</v>
      </c>
      <c r="K30" s="7">
        <v>0.68700000000000006</v>
      </c>
      <c r="L30" s="8">
        <v>0.33600000000000002</v>
      </c>
      <c r="M30" s="6">
        <v>18.145</v>
      </c>
      <c r="N30" s="9"/>
    </row>
    <row r="31" spans="1:14" ht="17.25">
      <c r="A31" s="36" t="s">
        <v>33</v>
      </c>
      <c r="B31" s="57" t="s">
        <v>43</v>
      </c>
      <c r="C31" s="36"/>
      <c r="D31" s="7">
        <v>1E-3</v>
      </c>
      <c r="E31" s="15">
        <v>10.186999999999999</v>
      </c>
      <c r="F31" s="15">
        <v>11.875999999999999</v>
      </c>
      <c r="G31" s="15">
        <v>9.4770000000000003</v>
      </c>
      <c r="H31" s="15">
        <v>8.0790000000000006</v>
      </c>
      <c r="I31" s="15">
        <v>5.6059999999999999</v>
      </c>
      <c r="J31" s="7">
        <v>1.0740000000000001</v>
      </c>
      <c r="K31" s="7">
        <v>0.27600000000000002</v>
      </c>
      <c r="L31" s="8">
        <v>1.0999999999999999E-2</v>
      </c>
      <c r="M31" s="6">
        <v>46.587000000000003</v>
      </c>
      <c r="N31" s="9"/>
    </row>
    <row r="32" spans="1:14" ht="17.25">
      <c r="A32" s="36" t="s">
        <v>34</v>
      </c>
      <c r="B32" s="57" t="s">
        <v>43</v>
      </c>
      <c r="C32" s="36"/>
      <c r="D32" s="7">
        <v>7.0000000000000001E-3</v>
      </c>
      <c r="E32" s="15">
        <v>18.712</v>
      </c>
      <c r="F32" s="15">
        <v>14.423999999999999</v>
      </c>
      <c r="G32" s="15">
        <v>7.718</v>
      </c>
      <c r="H32" s="15">
        <v>6.351</v>
      </c>
      <c r="I32" s="15">
        <v>6.444</v>
      </c>
      <c r="J32" s="7">
        <v>2.3119999999999998</v>
      </c>
      <c r="K32" s="7">
        <v>0.69399999999999995</v>
      </c>
      <c r="L32" s="8">
        <v>0.02</v>
      </c>
      <c r="M32" s="6">
        <v>56.682000000000002</v>
      </c>
      <c r="N32" s="9"/>
    </row>
    <row r="33" spans="1:17" ht="17.25">
      <c r="A33" s="37" t="s">
        <v>66</v>
      </c>
      <c r="B33" s="58" t="s">
        <v>43</v>
      </c>
      <c r="C33" s="36"/>
      <c r="D33" s="13">
        <v>3.4670000000000001</v>
      </c>
      <c r="E33" s="12">
        <v>3433.1849999999999</v>
      </c>
      <c r="F33" s="12">
        <v>1023.79</v>
      </c>
      <c r="G33" s="12">
        <v>582.90300000000002</v>
      </c>
      <c r="H33" s="12">
        <v>429.18599999999998</v>
      </c>
      <c r="I33" s="12">
        <v>339.58100000000002</v>
      </c>
      <c r="J33" s="13">
        <v>81.441000000000003</v>
      </c>
      <c r="K33" s="13">
        <v>24.843</v>
      </c>
      <c r="L33" s="14">
        <v>3.9969999999999999</v>
      </c>
      <c r="M33" s="39">
        <v>5922.393</v>
      </c>
      <c r="N33" s="9"/>
    </row>
    <row r="34" spans="1:17" ht="17.25">
      <c r="A34" s="59" t="s">
        <v>35</v>
      </c>
      <c r="B34" s="57" t="s">
        <v>43</v>
      </c>
      <c r="C34" s="40"/>
      <c r="D34" s="7">
        <v>0.433</v>
      </c>
      <c r="E34" s="15">
        <v>5.0999999999999997E-2</v>
      </c>
      <c r="F34" s="15">
        <v>5.0000000000000001E-3</v>
      </c>
      <c r="G34" s="15">
        <v>3.0000000000000001E-3</v>
      </c>
      <c r="H34" s="15">
        <v>1E-3</v>
      </c>
      <c r="I34" s="48" t="s">
        <v>59</v>
      </c>
      <c r="J34" s="48" t="s">
        <v>59</v>
      </c>
      <c r="K34" s="48" t="s">
        <v>59</v>
      </c>
      <c r="L34" s="48" t="s">
        <v>59</v>
      </c>
      <c r="M34" s="6">
        <v>0.49299999999999999</v>
      </c>
      <c r="N34" s="9"/>
    </row>
    <row r="35" spans="1:17" ht="17.25">
      <c r="A35" s="20" t="s">
        <v>52</v>
      </c>
      <c r="B35" s="20"/>
      <c r="C35" s="20"/>
      <c r="D35" s="20"/>
      <c r="E35" s="20"/>
      <c r="F35" s="20"/>
      <c r="G35" s="20"/>
      <c r="H35" s="20"/>
      <c r="I35" s="20"/>
      <c r="J35" s="20"/>
      <c r="K35" s="21"/>
      <c r="L35" s="20"/>
      <c r="M35" s="20"/>
      <c r="O35" s="16"/>
    </row>
    <row r="36" spans="1:17" s="53" customFormat="1" ht="39.75" customHeight="1">
      <c r="A36" s="44" t="s">
        <v>5</v>
      </c>
      <c r="B36" s="47" t="s">
        <v>39</v>
      </c>
      <c r="C36" s="47" t="s">
        <v>40</v>
      </c>
      <c r="D36" s="54" t="s">
        <v>36</v>
      </c>
      <c r="E36" s="55" t="s">
        <v>44</v>
      </c>
      <c r="F36" s="55" t="s">
        <v>49</v>
      </c>
      <c r="G36" s="55" t="s">
        <v>50</v>
      </c>
      <c r="H36" s="55" t="s">
        <v>51</v>
      </c>
      <c r="I36" s="55" t="s">
        <v>48</v>
      </c>
      <c r="J36" s="55" t="s">
        <v>47</v>
      </c>
      <c r="K36" s="55" t="s">
        <v>46</v>
      </c>
      <c r="L36" s="55" t="s">
        <v>45</v>
      </c>
      <c r="M36" s="56" t="s">
        <v>37</v>
      </c>
    </row>
    <row r="37" spans="1:17" ht="17.25">
      <c r="A37" s="36" t="s">
        <v>8</v>
      </c>
      <c r="B37" s="57" t="s">
        <v>41</v>
      </c>
      <c r="C37" s="36"/>
      <c r="D37" s="23">
        <v>0.28000000000000003</v>
      </c>
      <c r="E37" s="23">
        <v>15.15</v>
      </c>
      <c r="F37" s="23">
        <v>17.84</v>
      </c>
      <c r="G37" s="23">
        <v>17.489999999999998</v>
      </c>
      <c r="H37" s="23">
        <v>23.6</v>
      </c>
      <c r="I37" s="23">
        <v>21.51</v>
      </c>
      <c r="J37" s="24">
        <v>3.79</v>
      </c>
      <c r="K37" s="24">
        <v>0.33999999999999997</v>
      </c>
      <c r="L37" s="24">
        <v>0</v>
      </c>
      <c r="M37" s="45">
        <v>100</v>
      </c>
      <c r="N37" s="25"/>
      <c r="O37" s="26"/>
      <c r="P37" s="6"/>
      <c r="Q37" s="27"/>
    </row>
    <row r="38" spans="1:17" ht="17.25">
      <c r="A38" s="36" t="s">
        <v>9</v>
      </c>
      <c r="B38" s="57" t="s">
        <v>41</v>
      </c>
      <c r="C38" s="36"/>
      <c r="D38" s="23">
        <v>0</v>
      </c>
      <c r="E38" s="23">
        <v>39.4</v>
      </c>
      <c r="F38" s="23">
        <v>20.67</v>
      </c>
      <c r="G38" s="23">
        <v>17.11</v>
      </c>
      <c r="H38" s="23">
        <v>10.97</v>
      </c>
      <c r="I38" s="23">
        <v>6.43</v>
      </c>
      <c r="J38" s="24">
        <v>2.73</v>
      </c>
      <c r="K38" s="24">
        <v>2.3299999999999996</v>
      </c>
      <c r="L38" s="24">
        <v>0.37</v>
      </c>
      <c r="M38" s="45">
        <v>100</v>
      </c>
      <c r="N38" s="25"/>
      <c r="O38" s="27"/>
      <c r="P38" s="28"/>
    </row>
    <row r="39" spans="1:17" ht="17.25">
      <c r="A39" s="36" t="s">
        <v>10</v>
      </c>
      <c r="B39" s="57" t="s">
        <v>41</v>
      </c>
      <c r="C39" s="36"/>
      <c r="D39" s="48" t="s">
        <v>59</v>
      </c>
      <c r="E39" s="23">
        <v>37.049999999999997</v>
      </c>
      <c r="F39" s="23">
        <v>19.78</v>
      </c>
      <c r="G39" s="23">
        <v>12.7</v>
      </c>
      <c r="H39" s="23">
        <v>10.97</v>
      </c>
      <c r="I39" s="23">
        <v>9.35</v>
      </c>
      <c r="J39" s="24">
        <v>3.71</v>
      </c>
      <c r="K39" s="24">
        <v>4.3099999999999996</v>
      </c>
      <c r="L39" s="24">
        <v>2.13</v>
      </c>
      <c r="M39" s="45">
        <v>100</v>
      </c>
      <c r="N39" s="25"/>
      <c r="O39" s="27"/>
      <c r="P39" s="28"/>
    </row>
    <row r="40" spans="1:17" ht="17.25">
      <c r="A40" s="36" t="s">
        <v>11</v>
      </c>
      <c r="B40" s="57" t="s">
        <v>41</v>
      </c>
      <c r="C40" s="36"/>
      <c r="D40" s="23">
        <v>0.19</v>
      </c>
      <c r="E40" s="23">
        <v>29.720000000000002</v>
      </c>
      <c r="F40" s="23">
        <v>20.78</v>
      </c>
      <c r="G40" s="23">
        <v>12.43</v>
      </c>
      <c r="H40" s="23">
        <v>10.61</v>
      </c>
      <c r="I40" s="23">
        <v>13.45</v>
      </c>
      <c r="J40" s="24">
        <v>8</v>
      </c>
      <c r="K40" s="24">
        <v>4.5199999999999996</v>
      </c>
      <c r="L40" s="24">
        <v>0.3</v>
      </c>
      <c r="M40" s="45">
        <v>100</v>
      </c>
      <c r="N40" s="25"/>
      <c r="O40" s="27"/>
    </row>
    <row r="41" spans="1:17" s="31" customFormat="1" ht="17.25">
      <c r="A41" s="37" t="s">
        <v>12</v>
      </c>
      <c r="B41" s="58" t="s">
        <v>41</v>
      </c>
      <c r="C41" s="37"/>
      <c r="D41" s="29">
        <v>0</v>
      </c>
      <c r="E41" s="29">
        <v>26.46</v>
      </c>
      <c r="F41" s="29">
        <v>20.09</v>
      </c>
      <c r="G41" s="29">
        <v>16.170000000000002</v>
      </c>
      <c r="H41" s="29">
        <v>17.68</v>
      </c>
      <c r="I41" s="29">
        <v>14.76</v>
      </c>
      <c r="J41" s="30">
        <v>3.1</v>
      </c>
      <c r="K41" s="30">
        <v>1.38</v>
      </c>
      <c r="L41" s="30">
        <v>0.36</v>
      </c>
      <c r="M41" s="46">
        <v>100</v>
      </c>
      <c r="N41" s="25"/>
      <c r="O41" s="27"/>
    </row>
    <row r="42" spans="1:17" ht="17.25">
      <c r="A42" s="36" t="s">
        <v>13</v>
      </c>
      <c r="B42" s="57" t="s">
        <v>41</v>
      </c>
      <c r="C42" s="36"/>
      <c r="D42" s="48" t="s">
        <v>59</v>
      </c>
      <c r="E42" s="23">
        <v>51.59</v>
      </c>
      <c r="F42" s="23">
        <v>18</v>
      </c>
      <c r="G42" s="23">
        <v>9.59</v>
      </c>
      <c r="H42" s="23">
        <v>7.13</v>
      </c>
      <c r="I42" s="23">
        <v>7.34</v>
      </c>
      <c r="J42" s="24">
        <v>3.51</v>
      </c>
      <c r="K42" s="24">
        <v>2.4</v>
      </c>
      <c r="L42" s="24">
        <v>0.45</v>
      </c>
      <c r="M42" s="45">
        <v>100</v>
      </c>
      <c r="N42" s="25"/>
      <c r="O42" s="27"/>
    </row>
    <row r="43" spans="1:17" ht="17.25">
      <c r="A43" s="36" t="s">
        <v>14</v>
      </c>
      <c r="B43" s="57" t="s">
        <v>41</v>
      </c>
      <c r="C43" s="36"/>
      <c r="D43" s="23">
        <v>0.01</v>
      </c>
      <c r="E43" s="23">
        <v>13.43</v>
      </c>
      <c r="F43" s="23">
        <v>27.62</v>
      </c>
      <c r="G43" s="23">
        <v>27.64</v>
      </c>
      <c r="H43" s="23">
        <v>20.18</v>
      </c>
      <c r="I43" s="23">
        <v>9.84</v>
      </c>
      <c r="J43" s="24">
        <v>1.1299999999999999</v>
      </c>
      <c r="K43" s="24">
        <v>0.14000000000000001</v>
      </c>
      <c r="L43" s="48" t="s">
        <v>59</v>
      </c>
      <c r="M43" s="45">
        <v>100</v>
      </c>
      <c r="N43" s="25"/>
      <c r="O43" s="27"/>
    </row>
    <row r="44" spans="1:17" ht="17.25">
      <c r="A44" s="36" t="s">
        <v>15</v>
      </c>
      <c r="B44" s="57" t="s">
        <v>41</v>
      </c>
      <c r="C44" s="36"/>
      <c r="D44" s="23">
        <v>0</v>
      </c>
      <c r="E44" s="23">
        <v>61.37</v>
      </c>
      <c r="F44" s="23">
        <v>21.84</v>
      </c>
      <c r="G44" s="23">
        <v>10.25</v>
      </c>
      <c r="H44" s="23">
        <v>4.8600000000000003</v>
      </c>
      <c r="I44" s="23">
        <v>1.55</v>
      </c>
      <c r="J44" s="24">
        <v>0.12</v>
      </c>
      <c r="K44" s="24">
        <v>0.01</v>
      </c>
      <c r="L44" s="48" t="s">
        <v>59</v>
      </c>
      <c r="M44" s="45">
        <v>100</v>
      </c>
      <c r="N44" s="25"/>
      <c r="O44" s="27"/>
    </row>
    <row r="45" spans="1:17" ht="17.25">
      <c r="A45" s="36" t="s">
        <v>16</v>
      </c>
      <c r="B45" s="57" t="s">
        <v>41</v>
      </c>
      <c r="C45" s="36"/>
      <c r="D45" s="23">
        <v>0.05</v>
      </c>
      <c r="E45" s="23">
        <v>46.85</v>
      </c>
      <c r="F45" s="23">
        <v>20.66</v>
      </c>
      <c r="G45" s="23">
        <v>12.31</v>
      </c>
      <c r="H45" s="23">
        <v>9.9</v>
      </c>
      <c r="I45" s="23">
        <v>7.91</v>
      </c>
      <c r="J45" s="24">
        <v>1.77</v>
      </c>
      <c r="K45" s="24">
        <v>0.52</v>
      </c>
      <c r="L45" s="24">
        <v>0.04</v>
      </c>
      <c r="M45" s="45">
        <v>100</v>
      </c>
      <c r="N45" s="25"/>
      <c r="O45" s="27"/>
    </row>
    <row r="46" spans="1:17" ht="17.25">
      <c r="A46" s="36" t="s">
        <v>17</v>
      </c>
      <c r="B46" s="57" t="s">
        <v>41</v>
      </c>
      <c r="C46" s="36"/>
      <c r="D46" s="23">
        <v>0.43</v>
      </c>
      <c r="E46" s="23">
        <v>16.13</v>
      </c>
      <c r="F46" s="23">
        <v>10.17</v>
      </c>
      <c r="G46" s="23">
        <v>10.31</v>
      </c>
      <c r="H46" s="23">
        <v>19.399999999999999</v>
      </c>
      <c r="I46" s="23">
        <v>34.090000000000003</v>
      </c>
      <c r="J46" s="24">
        <v>8.61</v>
      </c>
      <c r="K46" s="24">
        <v>0.82</v>
      </c>
      <c r="L46" s="24">
        <v>0.04</v>
      </c>
      <c r="M46" s="45">
        <v>100</v>
      </c>
      <c r="N46" s="25"/>
      <c r="O46" s="27"/>
    </row>
    <row r="47" spans="1:17" ht="17.25">
      <c r="A47" s="36" t="s">
        <v>18</v>
      </c>
      <c r="B47" s="57" t="s">
        <v>41</v>
      </c>
      <c r="C47" s="36"/>
      <c r="D47" s="23">
        <v>0.2</v>
      </c>
      <c r="E47" s="23">
        <v>72.19</v>
      </c>
      <c r="F47" s="23">
        <v>15.51</v>
      </c>
      <c r="G47" s="23">
        <v>5.88</v>
      </c>
      <c r="H47" s="23">
        <v>3.84</v>
      </c>
      <c r="I47" s="23">
        <v>1.92</v>
      </c>
      <c r="J47" s="24">
        <v>0.3</v>
      </c>
      <c r="K47" s="24">
        <v>0.10999999999999999</v>
      </c>
      <c r="L47" s="24">
        <v>0.04</v>
      </c>
      <c r="M47" s="45">
        <v>100</v>
      </c>
      <c r="N47" s="25"/>
      <c r="O47" s="27"/>
    </row>
    <row r="48" spans="1:17" ht="17.25">
      <c r="A48" s="36" t="s">
        <v>19</v>
      </c>
      <c r="B48" s="57" t="s">
        <v>41</v>
      </c>
      <c r="C48" s="36"/>
      <c r="D48" s="23">
        <v>0.12</v>
      </c>
      <c r="E48" s="23">
        <v>62.36999999999999</v>
      </c>
      <c r="F48" s="23">
        <v>18.12</v>
      </c>
      <c r="G48" s="23">
        <v>8.9600000000000009</v>
      </c>
      <c r="H48" s="23">
        <v>5.69</v>
      </c>
      <c r="I48" s="23">
        <v>3.54</v>
      </c>
      <c r="J48" s="24">
        <v>0.89</v>
      </c>
      <c r="K48" s="24">
        <v>0.29000000000000004</v>
      </c>
      <c r="L48" s="24">
        <v>0.03</v>
      </c>
      <c r="M48" s="45">
        <v>100</v>
      </c>
      <c r="N48" s="25"/>
      <c r="O48" s="27"/>
    </row>
    <row r="49" spans="1:20" ht="17.25">
      <c r="A49" s="36" t="s">
        <v>20</v>
      </c>
      <c r="B49" s="57" t="s">
        <v>41</v>
      </c>
      <c r="C49" s="36"/>
      <c r="D49" s="23">
        <v>0.02</v>
      </c>
      <c r="E49" s="23">
        <v>86.08</v>
      </c>
      <c r="F49" s="23">
        <v>8.2799999999999994</v>
      </c>
      <c r="G49" s="23">
        <v>2.83</v>
      </c>
      <c r="H49" s="23">
        <v>1.7</v>
      </c>
      <c r="I49" s="23">
        <v>0.89</v>
      </c>
      <c r="J49" s="24">
        <v>0.19</v>
      </c>
      <c r="K49" s="24">
        <v>0.02</v>
      </c>
      <c r="L49" s="48" t="s">
        <v>59</v>
      </c>
      <c r="M49" s="45">
        <v>100</v>
      </c>
      <c r="N49" s="25"/>
      <c r="O49" s="27"/>
    </row>
    <row r="50" spans="1:20" ht="17.25">
      <c r="A50" s="36" t="s">
        <v>21</v>
      </c>
      <c r="B50" s="57" t="s">
        <v>41</v>
      </c>
      <c r="C50" s="36"/>
      <c r="D50" s="48" t="s">
        <v>59</v>
      </c>
      <c r="E50" s="23">
        <v>68.56</v>
      </c>
      <c r="F50" s="23">
        <v>14.68</v>
      </c>
      <c r="G50" s="23">
        <v>6.56</v>
      </c>
      <c r="H50" s="23">
        <v>4.5</v>
      </c>
      <c r="I50" s="23">
        <v>3.6</v>
      </c>
      <c r="J50" s="24">
        <v>1.31</v>
      </c>
      <c r="K50" s="24">
        <v>0.67000000000000015</v>
      </c>
      <c r="L50" s="24">
        <v>0.12</v>
      </c>
      <c r="M50" s="45">
        <v>100</v>
      </c>
      <c r="N50" s="25"/>
      <c r="O50" s="27"/>
      <c r="T50" s="27"/>
    </row>
    <row r="51" spans="1:20" ht="17.25">
      <c r="A51" s="36" t="s">
        <v>22</v>
      </c>
      <c r="B51" s="57" t="s">
        <v>41</v>
      </c>
      <c r="C51" s="36"/>
      <c r="D51" s="23">
        <v>0.02</v>
      </c>
      <c r="E51" s="23">
        <v>63.22</v>
      </c>
      <c r="F51" s="23">
        <v>18.53</v>
      </c>
      <c r="G51" s="23">
        <v>7.89</v>
      </c>
      <c r="H51" s="23">
        <v>5.57</v>
      </c>
      <c r="I51" s="23">
        <v>3.67</v>
      </c>
      <c r="J51" s="24">
        <v>0.8</v>
      </c>
      <c r="K51" s="24">
        <v>0.26</v>
      </c>
      <c r="L51" s="24">
        <v>0.06</v>
      </c>
      <c r="M51" s="45">
        <v>100</v>
      </c>
      <c r="N51" s="25"/>
      <c r="O51" s="27"/>
    </row>
    <row r="52" spans="1:20" ht="17.25">
      <c r="A52" s="36" t="s">
        <v>23</v>
      </c>
      <c r="B52" s="57" t="s">
        <v>41</v>
      </c>
      <c r="C52" s="36"/>
      <c r="D52" s="48" t="s">
        <v>59</v>
      </c>
      <c r="E52" s="23">
        <v>14.59</v>
      </c>
      <c r="F52" s="23">
        <v>11.48</v>
      </c>
      <c r="G52" s="23">
        <v>10.64</v>
      </c>
      <c r="H52" s="23">
        <v>20.2</v>
      </c>
      <c r="I52" s="23">
        <v>37.119999999999997</v>
      </c>
      <c r="J52" s="24">
        <v>5.56</v>
      </c>
      <c r="K52" s="24">
        <v>0.42</v>
      </c>
      <c r="L52" s="48" t="s">
        <v>59</v>
      </c>
      <c r="M52" s="45">
        <v>100</v>
      </c>
      <c r="N52" s="25"/>
      <c r="O52" s="27"/>
    </row>
    <row r="53" spans="1:20" ht="17.25">
      <c r="A53" s="36" t="s">
        <v>24</v>
      </c>
      <c r="B53" s="57" t="s">
        <v>41</v>
      </c>
      <c r="C53" s="36"/>
      <c r="D53" s="23">
        <v>7.0000000000000007E-2</v>
      </c>
      <c r="E53" s="23">
        <v>57.45</v>
      </c>
      <c r="F53" s="23">
        <v>19.41</v>
      </c>
      <c r="G53" s="23">
        <v>8.9499999999999993</v>
      </c>
      <c r="H53" s="23">
        <v>6.11</v>
      </c>
      <c r="I53" s="23">
        <v>5.0999999999999996</v>
      </c>
      <c r="J53" s="24">
        <v>1.8</v>
      </c>
      <c r="K53" s="24">
        <v>0.93</v>
      </c>
      <c r="L53" s="24">
        <v>0.18000000000000002</v>
      </c>
      <c r="M53" s="45">
        <v>100</v>
      </c>
      <c r="N53" s="25"/>
      <c r="O53" s="27"/>
      <c r="P53" s="28"/>
    </row>
    <row r="54" spans="1:20" ht="17.25">
      <c r="A54" s="36" t="s">
        <v>25</v>
      </c>
      <c r="B54" s="57" t="s">
        <v>41</v>
      </c>
      <c r="C54" s="36"/>
      <c r="D54" s="48" t="s">
        <v>59</v>
      </c>
      <c r="E54" s="23">
        <v>93.92</v>
      </c>
      <c r="F54" s="23">
        <v>2.88</v>
      </c>
      <c r="G54" s="23">
        <v>1.18</v>
      </c>
      <c r="H54" s="23">
        <v>1.1200000000000001</v>
      </c>
      <c r="I54" s="23">
        <v>0.76</v>
      </c>
      <c r="J54" s="24">
        <v>0.15</v>
      </c>
      <c r="K54" s="48" t="s">
        <v>59</v>
      </c>
      <c r="L54" s="48" t="s">
        <v>59</v>
      </c>
      <c r="M54" s="45">
        <v>100</v>
      </c>
      <c r="N54" s="25"/>
      <c r="O54" s="27"/>
      <c r="P54" s="28"/>
    </row>
    <row r="55" spans="1:20" ht="17.25">
      <c r="A55" s="36" t="s">
        <v>26</v>
      </c>
      <c r="B55" s="57" t="s">
        <v>41</v>
      </c>
      <c r="C55" s="36"/>
      <c r="D55" s="48" t="s">
        <v>59</v>
      </c>
      <c r="E55" s="23">
        <v>10.1</v>
      </c>
      <c r="F55" s="23">
        <v>18.77</v>
      </c>
      <c r="G55" s="23">
        <v>18.46</v>
      </c>
      <c r="H55" s="23">
        <v>26.26</v>
      </c>
      <c r="I55" s="23">
        <v>22.97</v>
      </c>
      <c r="J55" s="24">
        <v>3</v>
      </c>
      <c r="K55" s="24">
        <v>0.45000000000000007</v>
      </c>
      <c r="L55" s="24">
        <v>0.01</v>
      </c>
      <c r="M55" s="45">
        <v>100</v>
      </c>
      <c r="N55" s="25"/>
      <c r="O55" s="27"/>
      <c r="P55" s="28"/>
    </row>
    <row r="56" spans="1:20" ht="17.25">
      <c r="A56" s="36" t="s">
        <v>27</v>
      </c>
      <c r="B56" s="57" t="s">
        <v>41</v>
      </c>
      <c r="C56" s="36"/>
      <c r="D56" s="23">
        <v>0</v>
      </c>
      <c r="E56" s="23">
        <v>27.52</v>
      </c>
      <c r="F56" s="23">
        <v>29.02</v>
      </c>
      <c r="G56" s="23">
        <v>23.56</v>
      </c>
      <c r="H56" s="23">
        <v>15.28</v>
      </c>
      <c r="I56" s="23">
        <v>4.16</v>
      </c>
      <c r="J56" s="24">
        <v>0.37</v>
      </c>
      <c r="K56" s="24">
        <v>7.0000000000000007E-2</v>
      </c>
      <c r="L56" s="24">
        <v>0</v>
      </c>
      <c r="M56" s="45">
        <v>100</v>
      </c>
      <c r="N56" s="25"/>
      <c r="O56" s="27"/>
      <c r="P56" s="28"/>
    </row>
    <row r="57" spans="1:20" ht="17.25">
      <c r="A57" s="36" t="s">
        <v>28</v>
      </c>
      <c r="B57" s="57" t="s">
        <v>41</v>
      </c>
      <c r="C57" s="36"/>
      <c r="D57" s="23">
        <v>0.01</v>
      </c>
      <c r="E57" s="23">
        <v>69.2</v>
      </c>
      <c r="F57" s="23">
        <v>17.91</v>
      </c>
      <c r="G57" s="23">
        <v>8.4499999999999993</v>
      </c>
      <c r="H57" s="23">
        <v>3.29</v>
      </c>
      <c r="I57" s="23">
        <v>0.88</v>
      </c>
      <c r="J57" s="24">
        <v>0.18</v>
      </c>
      <c r="K57" s="24">
        <v>6.0000000000000005E-2</v>
      </c>
      <c r="L57" s="24">
        <v>0</v>
      </c>
      <c r="M57" s="45">
        <v>100</v>
      </c>
      <c r="N57" s="25"/>
      <c r="O57" s="27"/>
    </row>
    <row r="58" spans="1:20" ht="17.25">
      <c r="A58" s="36" t="s">
        <v>29</v>
      </c>
      <c r="B58" s="57" t="s">
        <v>41</v>
      </c>
      <c r="C58" s="36"/>
      <c r="D58" s="23">
        <v>0.04</v>
      </c>
      <c r="E58" s="23">
        <v>71.510000000000005</v>
      </c>
      <c r="F58" s="23">
        <v>13.9</v>
      </c>
      <c r="G58" s="23">
        <v>5.77</v>
      </c>
      <c r="H58" s="23">
        <v>4.25</v>
      </c>
      <c r="I58" s="23">
        <v>2.96</v>
      </c>
      <c r="J58" s="24">
        <v>1.0900000000000001</v>
      </c>
      <c r="K58" s="24">
        <v>0.47</v>
      </c>
      <c r="L58" s="24">
        <v>0.03</v>
      </c>
      <c r="M58" s="45">
        <v>100</v>
      </c>
      <c r="N58" s="25"/>
      <c r="O58" s="27"/>
      <c r="P58" s="28"/>
    </row>
    <row r="59" spans="1:20" ht="17.25">
      <c r="A59" s="36" t="s">
        <v>30</v>
      </c>
      <c r="B59" s="57" t="s">
        <v>41</v>
      </c>
      <c r="C59" s="36"/>
      <c r="D59" s="23">
        <v>0.02</v>
      </c>
      <c r="E59" s="23">
        <v>85.85</v>
      </c>
      <c r="F59" s="23">
        <v>6.66</v>
      </c>
      <c r="G59" s="23">
        <v>3.57</v>
      </c>
      <c r="H59" s="23">
        <v>2.0299999999999998</v>
      </c>
      <c r="I59" s="23">
        <v>1.21</v>
      </c>
      <c r="J59" s="24">
        <v>0.4</v>
      </c>
      <c r="K59" s="24">
        <v>0.22999999999999998</v>
      </c>
      <c r="L59" s="24">
        <v>0.04</v>
      </c>
      <c r="M59" s="45">
        <v>100</v>
      </c>
      <c r="N59" s="25"/>
      <c r="O59" s="27"/>
      <c r="P59" s="28"/>
    </row>
    <row r="60" spans="1:20" ht="17.25">
      <c r="A60" s="36" t="s">
        <v>31</v>
      </c>
      <c r="B60" s="57" t="s">
        <v>41</v>
      </c>
      <c r="C60" s="36"/>
      <c r="D60" s="48" t="s">
        <v>59</v>
      </c>
      <c r="E60" s="23">
        <v>69.12</v>
      </c>
      <c r="F60" s="23">
        <v>20.95</v>
      </c>
      <c r="G60" s="23">
        <v>6.57</v>
      </c>
      <c r="H60" s="23">
        <v>2.5099999999999998</v>
      </c>
      <c r="I60" s="23">
        <v>0.75</v>
      </c>
      <c r="J60" s="24">
        <v>0.06</v>
      </c>
      <c r="K60" s="24">
        <v>0.01</v>
      </c>
      <c r="L60" s="24">
        <v>0.02</v>
      </c>
      <c r="M60" s="45">
        <v>100</v>
      </c>
      <c r="N60" s="25"/>
      <c r="O60" s="27"/>
      <c r="P60" s="28"/>
    </row>
    <row r="61" spans="1:20" ht="17.25">
      <c r="A61" s="36" t="s">
        <v>32</v>
      </c>
      <c r="B61" s="57" t="s">
        <v>41</v>
      </c>
      <c r="C61" s="36"/>
      <c r="D61" s="48" t="s">
        <v>59</v>
      </c>
      <c r="E61" s="23">
        <v>50.120000000000005</v>
      </c>
      <c r="F61" s="23">
        <v>18.39</v>
      </c>
      <c r="G61" s="23">
        <v>9.91</v>
      </c>
      <c r="H61" s="23">
        <v>7.03</v>
      </c>
      <c r="I61" s="23">
        <v>5.73</v>
      </c>
      <c r="J61" s="24">
        <v>3.19</v>
      </c>
      <c r="K61" s="24">
        <v>3.78</v>
      </c>
      <c r="L61" s="24">
        <v>1.85</v>
      </c>
      <c r="M61" s="45">
        <v>100</v>
      </c>
      <c r="N61" s="25"/>
      <c r="O61" s="27"/>
      <c r="P61" s="28"/>
    </row>
    <row r="62" spans="1:20" ht="17.25">
      <c r="A62" s="36" t="s">
        <v>33</v>
      </c>
      <c r="B62" s="57" t="s">
        <v>41</v>
      </c>
      <c r="C62" s="36"/>
      <c r="D62" s="23">
        <v>0</v>
      </c>
      <c r="E62" s="23">
        <v>21.869999999999997</v>
      </c>
      <c r="F62" s="23">
        <v>25.49</v>
      </c>
      <c r="G62" s="23">
        <v>20.34</v>
      </c>
      <c r="H62" s="23">
        <v>17.34</v>
      </c>
      <c r="I62" s="23">
        <v>12.03</v>
      </c>
      <c r="J62" s="24">
        <v>2.31</v>
      </c>
      <c r="K62" s="24">
        <v>0.59000000000000008</v>
      </c>
      <c r="L62" s="24">
        <v>0.02</v>
      </c>
      <c r="M62" s="45">
        <v>100</v>
      </c>
      <c r="N62" s="25"/>
      <c r="O62" s="27"/>
    </row>
    <row r="63" spans="1:20" ht="17.25">
      <c r="A63" s="36" t="s">
        <v>34</v>
      </c>
      <c r="B63" s="57" t="s">
        <v>41</v>
      </c>
      <c r="C63" s="36"/>
      <c r="D63" s="23">
        <v>0.01</v>
      </c>
      <c r="E63" s="23">
        <v>33.010000000000005</v>
      </c>
      <c r="F63" s="23">
        <v>25.45</v>
      </c>
      <c r="G63" s="23">
        <v>13.62</v>
      </c>
      <c r="H63" s="23">
        <v>11.2</v>
      </c>
      <c r="I63" s="23">
        <v>11.37</v>
      </c>
      <c r="J63" s="24">
        <v>4.08</v>
      </c>
      <c r="K63" s="24">
        <v>1.2200000000000002</v>
      </c>
      <c r="L63" s="24">
        <v>0.04</v>
      </c>
      <c r="M63" s="45">
        <v>100</v>
      </c>
      <c r="N63" s="25"/>
      <c r="O63" s="27"/>
    </row>
    <row r="64" spans="1:20" ht="17.25">
      <c r="A64" s="37" t="s">
        <v>66</v>
      </c>
      <c r="B64" s="58" t="s">
        <v>41</v>
      </c>
      <c r="C64" s="36"/>
      <c r="D64" s="29">
        <v>0.06</v>
      </c>
      <c r="E64" s="29">
        <v>57.97</v>
      </c>
      <c r="F64" s="29">
        <v>17.29</v>
      </c>
      <c r="G64" s="29">
        <v>9.84</v>
      </c>
      <c r="H64" s="29">
        <v>7.25</v>
      </c>
      <c r="I64" s="29">
        <v>5.73</v>
      </c>
      <c r="J64" s="30">
        <v>1.38</v>
      </c>
      <c r="K64" s="30">
        <v>0.40999999999999992</v>
      </c>
      <c r="L64" s="30">
        <v>7.0000000000000007E-2</v>
      </c>
      <c r="M64" s="46">
        <v>100</v>
      </c>
      <c r="N64" s="25"/>
      <c r="O64" s="27"/>
    </row>
    <row r="65" spans="1:15" ht="17.25">
      <c r="A65" s="59" t="s">
        <v>35</v>
      </c>
      <c r="B65" s="58" t="s">
        <v>41</v>
      </c>
      <c r="C65" s="37"/>
      <c r="D65" s="23">
        <v>87.83</v>
      </c>
      <c r="E65" s="23">
        <v>10.34</v>
      </c>
      <c r="F65" s="23">
        <v>1.01</v>
      </c>
      <c r="G65" s="23">
        <v>0.61</v>
      </c>
      <c r="H65" s="23">
        <v>0.2</v>
      </c>
      <c r="I65" s="48" t="s">
        <v>59</v>
      </c>
      <c r="J65" s="48" t="s">
        <v>59</v>
      </c>
      <c r="K65" s="24">
        <v>0</v>
      </c>
      <c r="L65" s="48" t="s">
        <v>59</v>
      </c>
      <c r="M65" s="45">
        <v>100</v>
      </c>
      <c r="N65" s="27"/>
      <c r="O65" s="27"/>
    </row>
    <row r="66" spans="1:15" ht="17.25">
      <c r="A66" s="32" t="s">
        <v>69</v>
      </c>
      <c r="B66" s="32"/>
      <c r="C66" s="32"/>
      <c r="D66" s="17"/>
      <c r="E66" s="17"/>
      <c r="F66" s="17"/>
      <c r="G66" s="17"/>
      <c r="H66" s="17"/>
      <c r="I66" s="17"/>
      <c r="J66" s="17"/>
      <c r="K66" s="17"/>
      <c r="L66" s="17"/>
      <c r="M66" s="34"/>
    </row>
    <row r="67" spans="1:15" ht="17.25">
      <c r="A67" s="60" t="s">
        <v>72</v>
      </c>
      <c r="B67" s="32"/>
      <c r="C67" s="32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5" s="17" customFormat="1">
      <c r="A68" s="33" t="s">
        <v>0</v>
      </c>
      <c r="B68" s="33"/>
      <c r="C68" s="33"/>
    </row>
  </sheetData>
  <pageMargins left="1.5748031496062993" right="1.6535433070866143" top="0.59055118110236227" bottom="2.2834645669291338" header="0.51181102362204722" footer="0.51181102362204722"/>
  <pageSetup paperSize="9" scale="97" orientation="portrait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8"/>
  <sheetViews>
    <sheetView zoomScaleNormal="100" workbookViewId="0">
      <selection activeCell="D14" sqref="D14"/>
    </sheetView>
  </sheetViews>
  <sheetFormatPr baseColWidth="10" defaultColWidth="9.140625" defaultRowHeight="16.5"/>
  <cols>
    <col min="1" max="1" width="16.85546875" style="4" customWidth="1"/>
    <col min="2" max="2" width="12.140625" style="4" customWidth="1"/>
    <col min="3" max="3" width="8.7109375" style="4" customWidth="1"/>
    <col min="4" max="4" width="21.140625" style="18" customWidth="1"/>
    <col min="5" max="13" width="21.140625" style="4" customWidth="1"/>
    <col min="14" max="16384" width="9.140625" style="4"/>
  </cols>
  <sheetData>
    <row r="1" spans="1:16" ht="17.25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ht="17.25">
      <c r="A2" s="20" t="s">
        <v>55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16"/>
    </row>
    <row r="3" spans="1:16">
      <c r="A3" s="20" t="s">
        <v>4</v>
      </c>
      <c r="B3" s="20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6">
      <c r="A4" s="20" t="s">
        <v>53</v>
      </c>
      <c r="B4" s="20"/>
      <c r="C4" s="20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6" ht="39.75" customHeight="1">
      <c r="A5" s="61" t="s">
        <v>5</v>
      </c>
      <c r="B5" s="47" t="s">
        <v>39</v>
      </c>
      <c r="C5" s="47" t="s">
        <v>40</v>
      </c>
      <c r="D5" s="54" t="s">
        <v>36</v>
      </c>
      <c r="E5" s="55" t="s">
        <v>70</v>
      </c>
      <c r="F5" s="55" t="s">
        <v>49</v>
      </c>
      <c r="G5" s="55" t="s">
        <v>50</v>
      </c>
      <c r="H5" s="55" t="s">
        <v>51</v>
      </c>
      <c r="I5" s="55" t="s">
        <v>48</v>
      </c>
      <c r="J5" s="55" t="s">
        <v>47</v>
      </c>
      <c r="K5" s="55" t="s">
        <v>46</v>
      </c>
      <c r="L5" s="55" t="s">
        <v>45</v>
      </c>
      <c r="M5" s="56" t="s">
        <v>37</v>
      </c>
    </row>
    <row r="6" spans="1:16" ht="17.25">
      <c r="A6" s="36" t="s">
        <v>8</v>
      </c>
      <c r="B6" s="57" t="s">
        <v>43</v>
      </c>
      <c r="C6" s="36"/>
      <c r="D6" s="5">
        <v>2.1000000000000001E-2</v>
      </c>
      <c r="E6" s="6">
        <v>4.9379999999999997</v>
      </c>
      <c r="F6" s="6">
        <v>6.109</v>
      </c>
      <c r="G6" s="6">
        <v>5.8920000000000003</v>
      </c>
      <c r="H6" s="6">
        <v>8.0269999999999992</v>
      </c>
      <c r="I6" s="6">
        <v>7.1790000000000003</v>
      </c>
      <c r="J6" s="7">
        <v>1.2250000000000001</v>
      </c>
      <c r="K6" s="7">
        <v>0.11700000000000001</v>
      </c>
      <c r="L6" s="8">
        <v>1E-3</v>
      </c>
      <c r="M6" s="6">
        <v>33.509</v>
      </c>
      <c r="N6" s="9"/>
      <c r="P6" s="6"/>
    </row>
    <row r="7" spans="1:16" ht="17.25">
      <c r="A7" s="36" t="s">
        <v>9</v>
      </c>
      <c r="B7" s="57" t="s">
        <v>43</v>
      </c>
      <c r="C7" s="36"/>
      <c r="D7" s="5">
        <v>2E-3</v>
      </c>
      <c r="E7" s="6">
        <v>23.1</v>
      </c>
      <c r="F7" s="6">
        <v>12.827</v>
      </c>
      <c r="G7" s="6">
        <v>10.111000000000001</v>
      </c>
      <c r="H7" s="6">
        <v>6.8789999999999996</v>
      </c>
      <c r="I7" s="6">
        <v>3.8620000000000001</v>
      </c>
      <c r="J7" s="7">
        <v>1.675</v>
      </c>
      <c r="K7" s="7">
        <v>1.4550000000000001</v>
      </c>
      <c r="L7" s="8">
        <v>0.25900000000000001</v>
      </c>
      <c r="M7" s="6">
        <v>60.17</v>
      </c>
      <c r="N7" s="9"/>
    </row>
    <row r="8" spans="1:16" ht="17.25">
      <c r="A8" s="36" t="s">
        <v>10</v>
      </c>
      <c r="B8" s="57" t="s">
        <v>43</v>
      </c>
      <c r="C8" s="36"/>
      <c r="D8" s="48" t="s">
        <v>59</v>
      </c>
      <c r="E8" s="6">
        <v>11.028</v>
      </c>
      <c r="F8" s="6">
        <v>6.093</v>
      </c>
      <c r="G8" s="6">
        <v>3.883</v>
      </c>
      <c r="H8" s="6">
        <v>3.335</v>
      </c>
      <c r="I8" s="6">
        <v>2.79</v>
      </c>
      <c r="J8" s="7">
        <v>1.1180000000000001</v>
      </c>
      <c r="K8" s="7">
        <v>1.3129999999999999</v>
      </c>
      <c r="L8" s="8">
        <v>0.66</v>
      </c>
      <c r="M8" s="6">
        <v>30.22</v>
      </c>
      <c r="N8" s="9"/>
    </row>
    <row r="9" spans="1:16" ht="17.25">
      <c r="A9" s="36" t="s">
        <v>11</v>
      </c>
      <c r="B9" s="57" t="s">
        <v>43</v>
      </c>
      <c r="C9" s="36"/>
      <c r="D9" s="5">
        <v>1.6E-2</v>
      </c>
      <c r="E9" s="6">
        <v>10.577</v>
      </c>
      <c r="F9" s="6">
        <v>7.6959999999999997</v>
      </c>
      <c r="G9" s="6">
        <v>4.6959999999999997</v>
      </c>
      <c r="H9" s="6">
        <v>3.9990000000000001</v>
      </c>
      <c r="I9" s="6">
        <v>5.0419999999999998</v>
      </c>
      <c r="J9" s="7">
        <v>2.9860000000000002</v>
      </c>
      <c r="K9" s="7">
        <v>1.6240000000000001</v>
      </c>
      <c r="L9" s="8">
        <v>0.111</v>
      </c>
      <c r="M9" s="6">
        <v>36.746999999999993</v>
      </c>
      <c r="N9" s="9"/>
    </row>
    <row r="10" spans="1:16" ht="17.25">
      <c r="A10" s="37" t="s">
        <v>12</v>
      </c>
      <c r="B10" s="58" t="s">
        <v>43</v>
      </c>
      <c r="C10" s="37"/>
      <c r="D10" s="11">
        <v>2.1999999999999999E-2</v>
      </c>
      <c r="E10" s="12">
        <v>79.441000000000003</v>
      </c>
      <c r="F10" s="12">
        <v>62.08</v>
      </c>
      <c r="G10" s="12">
        <v>50.146999999999998</v>
      </c>
      <c r="H10" s="12">
        <v>54.539000000000001</v>
      </c>
      <c r="I10" s="12">
        <v>45.1</v>
      </c>
      <c r="J10" s="13">
        <v>9.2289999999999992</v>
      </c>
      <c r="K10" s="13">
        <v>4.1390000000000002</v>
      </c>
      <c r="L10" s="14">
        <v>1.091</v>
      </c>
      <c r="M10" s="39">
        <v>305.78800000000001</v>
      </c>
      <c r="N10" s="9"/>
    </row>
    <row r="11" spans="1:16" ht="17.25">
      <c r="A11" s="36" t="s">
        <v>13</v>
      </c>
      <c r="B11" s="57" t="s">
        <v>43</v>
      </c>
      <c r="C11" s="36"/>
      <c r="D11" s="48" t="s">
        <v>59</v>
      </c>
      <c r="E11" s="15">
        <v>7.5469999999999997</v>
      </c>
      <c r="F11" s="15">
        <v>2.4980000000000002</v>
      </c>
      <c r="G11" s="15">
        <v>1.3220000000000001</v>
      </c>
      <c r="H11" s="15">
        <v>0.96199999999999997</v>
      </c>
      <c r="I11" s="15">
        <v>0.96899999999999997</v>
      </c>
      <c r="J11" s="7">
        <v>0.44800000000000001</v>
      </c>
      <c r="K11" s="7">
        <v>0.27800000000000002</v>
      </c>
      <c r="L11" s="8">
        <v>4.7E-2</v>
      </c>
      <c r="M11" s="6">
        <v>14.071000000000002</v>
      </c>
      <c r="N11" s="9"/>
    </row>
    <row r="12" spans="1:16" ht="17.25">
      <c r="A12" s="36" t="s">
        <v>14</v>
      </c>
      <c r="B12" s="57" t="s">
        <v>43</v>
      </c>
      <c r="C12" s="36"/>
      <c r="D12" s="7">
        <v>4.0000000000000001E-3</v>
      </c>
      <c r="E12" s="15">
        <v>15.832000000000001</v>
      </c>
      <c r="F12" s="15">
        <v>33.918999999999997</v>
      </c>
      <c r="G12" s="15">
        <v>34.298000000000002</v>
      </c>
      <c r="H12" s="15">
        <v>24.978000000000002</v>
      </c>
      <c r="I12" s="15">
        <v>11.898999999999999</v>
      </c>
      <c r="J12" s="7">
        <v>1.3420000000000001</v>
      </c>
      <c r="K12" s="7">
        <v>0.17599999999999999</v>
      </c>
      <c r="L12" s="48" t="s">
        <v>59</v>
      </c>
      <c r="M12" s="6">
        <v>122.44800000000001</v>
      </c>
      <c r="N12" s="9"/>
    </row>
    <row r="13" spans="1:16" ht="17.25">
      <c r="A13" s="36" t="s">
        <v>15</v>
      </c>
      <c r="B13" s="57" t="s">
        <v>43</v>
      </c>
      <c r="C13" s="36"/>
      <c r="D13" s="7">
        <v>1E-3</v>
      </c>
      <c r="E13" s="15">
        <v>367.75900000000001</v>
      </c>
      <c r="F13" s="15">
        <v>136.01300000000001</v>
      </c>
      <c r="G13" s="15">
        <v>65.676000000000002</v>
      </c>
      <c r="H13" s="15">
        <v>32.061999999999998</v>
      </c>
      <c r="I13" s="15">
        <v>10.007999999999999</v>
      </c>
      <c r="J13" s="7">
        <v>0.78300000000000003</v>
      </c>
      <c r="K13" s="7">
        <v>7.4999999999999997E-2</v>
      </c>
      <c r="L13" s="48" t="s">
        <v>59</v>
      </c>
      <c r="M13" s="6">
        <v>612.37700000000018</v>
      </c>
      <c r="N13" s="9"/>
    </row>
    <row r="14" spans="1:16" ht="17.25">
      <c r="A14" s="36" t="s">
        <v>16</v>
      </c>
      <c r="B14" s="57" t="s">
        <v>43</v>
      </c>
      <c r="C14" s="36"/>
      <c r="D14" s="7">
        <v>0.53700000000000003</v>
      </c>
      <c r="E14" s="15">
        <v>303.62400000000002</v>
      </c>
      <c r="F14" s="15">
        <v>133.86000000000001</v>
      </c>
      <c r="G14" s="15">
        <v>78.125</v>
      </c>
      <c r="H14" s="15">
        <v>63.767000000000003</v>
      </c>
      <c r="I14" s="15">
        <v>50.091999999999999</v>
      </c>
      <c r="J14" s="7">
        <v>10.91</v>
      </c>
      <c r="K14" s="7">
        <v>3.2450000000000001</v>
      </c>
      <c r="L14" s="8">
        <v>0.29199999999999998</v>
      </c>
      <c r="M14" s="6">
        <v>644.452</v>
      </c>
      <c r="N14" s="9"/>
    </row>
    <row r="15" spans="1:16" ht="17.25">
      <c r="A15" s="36" t="s">
        <v>17</v>
      </c>
      <c r="B15" s="57" t="s">
        <v>43</v>
      </c>
      <c r="C15" s="36"/>
      <c r="D15" s="7">
        <v>0.76100000000000001</v>
      </c>
      <c r="E15" s="15">
        <v>51.319000000000003</v>
      </c>
      <c r="F15" s="15">
        <v>32.375999999999998</v>
      </c>
      <c r="G15" s="15">
        <v>32.959000000000003</v>
      </c>
      <c r="H15" s="15">
        <v>62.881999999999998</v>
      </c>
      <c r="I15" s="15">
        <v>107.075</v>
      </c>
      <c r="J15" s="7">
        <v>25.672000000000001</v>
      </c>
      <c r="K15" s="7">
        <v>2.3050000000000002</v>
      </c>
      <c r="L15" s="8">
        <v>0.11799999999999999</v>
      </c>
      <c r="M15" s="6">
        <v>315.46700000000004</v>
      </c>
      <c r="N15" s="9"/>
    </row>
    <row r="16" spans="1:16" ht="17.25">
      <c r="A16" s="36" t="s">
        <v>18</v>
      </c>
      <c r="B16" s="57" t="s">
        <v>43</v>
      </c>
      <c r="C16" s="36"/>
      <c r="D16" s="7">
        <v>1.6E-2</v>
      </c>
      <c r="E16" s="15">
        <v>78.055000000000007</v>
      </c>
      <c r="F16" s="15">
        <v>16.617000000000001</v>
      </c>
      <c r="G16" s="15">
        <v>6.3550000000000004</v>
      </c>
      <c r="H16" s="15">
        <v>4.0250000000000004</v>
      </c>
      <c r="I16" s="15">
        <v>1.9570000000000001</v>
      </c>
      <c r="J16" s="7">
        <v>0.29699999999999999</v>
      </c>
      <c r="K16" s="7">
        <v>0.12</v>
      </c>
      <c r="L16" s="8">
        <v>3.4000000000000002E-2</v>
      </c>
      <c r="M16" s="6">
        <v>107.47600000000003</v>
      </c>
      <c r="N16" s="9"/>
    </row>
    <row r="17" spans="1:14" ht="17.25">
      <c r="A17" s="36" t="s">
        <v>19</v>
      </c>
      <c r="B17" s="57" t="s">
        <v>43</v>
      </c>
      <c r="C17" s="36"/>
      <c r="D17" s="7">
        <v>0.97199999999999998</v>
      </c>
      <c r="E17" s="15">
        <v>491.57499999999999</v>
      </c>
      <c r="F17" s="15">
        <v>133.35900000000001</v>
      </c>
      <c r="G17" s="15">
        <v>62.537999999999997</v>
      </c>
      <c r="H17" s="15">
        <v>36.741</v>
      </c>
      <c r="I17" s="15">
        <v>21.544</v>
      </c>
      <c r="J17" s="7">
        <v>5.6369999999999996</v>
      </c>
      <c r="K17" s="7">
        <v>1.8440000000000001</v>
      </c>
      <c r="L17" s="8">
        <v>0.152</v>
      </c>
      <c r="M17" s="6">
        <v>754.36199999999997</v>
      </c>
      <c r="N17" s="9"/>
    </row>
    <row r="18" spans="1:14" ht="17.25">
      <c r="A18" s="36" t="s">
        <v>20</v>
      </c>
      <c r="B18" s="57" t="s">
        <v>43</v>
      </c>
      <c r="C18" s="36"/>
      <c r="D18" s="7">
        <v>1E-3</v>
      </c>
      <c r="E18" s="15">
        <v>27.303000000000001</v>
      </c>
      <c r="F18" s="15">
        <v>2.6760000000000002</v>
      </c>
      <c r="G18" s="15">
        <v>0.90300000000000002</v>
      </c>
      <c r="H18" s="15">
        <v>0.51900000000000002</v>
      </c>
      <c r="I18" s="15">
        <v>0.26400000000000001</v>
      </c>
      <c r="J18" s="7">
        <v>4.5999999999999999E-2</v>
      </c>
      <c r="K18" s="7">
        <v>6.0000000000000001E-3</v>
      </c>
      <c r="L18" s="48" t="s">
        <v>59</v>
      </c>
      <c r="M18" s="6">
        <v>31.718</v>
      </c>
      <c r="N18" s="9"/>
    </row>
    <row r="19" spans="1:14" ht="17.25">
      <c r="A19" s="36" t="s">
        <v>21</v>
      </c>
      <c r="B19" s="57" t="s">
        <v>43</v>
      </c>
      <c r="C19" s="36"/>
      <c r="D19" s="48" t="s">
        <v>59</v>
      </c>
      <c r="E19" s="15">
        <v>39.308999999999997</v>
      </c>
      <c r="F19" s="15">
        <v>8.1750000000000007</v>
      </c>
      <c r="G19" s="15">
        <v>3.6059999999999999</v>
      </c>
      <c r="H19" s="15">
        <v>2.4369999999999998</v>
      </c>
      <c r="I19" s="15">
        <v>1.855</v>
      </c>
      <c r="J19" s="7">
        <v>0.66300000000000003</v>
      </c>
      <c r="K19" s="7">
        <v>0.32500000000000001</v>
      </c>
      <c r="L19" s="8">
        <v>5.7000000000000002E-2</v>
      </c>
      <c r="M19" s="6">
        <v>56.426999999999992</v>
      </c>
      <c r="N19" s="9"/>
    </row>
    <row r="20" spans="1:14" ht="17.25">
      <c r="A20" s="36" t="s">
        <v>22</v>
      </c>
      <c r="B20" s="57" t="s">
        <v>43</v>
      </c>
      <c r="C20" s="36"/>
      <c r="D20" s="7">
        <v>0.04</v>
      </c>
      <c r="E20" s="15">
        <v>81.522999999999996</v>
      </c>
      <c r="F20" s="15">
        <v>20.797999999999998</v>
      </c>
      <c r="G20" s="15">
        <v>9.1999999999999993</v>
      </c>
      <c r="H20" s="15">
        <v>6.2450000000000001</v>
      </c>
      <c r="I20" s="15">
        <v>3.6760000000000002</v>
      </c>
      <c r="J20" s="7">
        <v>0.78700000000000003</v>
      </c>
      <c r="K20" s="7">
        <v>0.26</v>
      </c>
      <c r="L20" s="8">
        <v>5.1999999999999998E-2</v>
      </c>
      <c r="M20" s="6">
        <v>112.58100000000003</v>
      </c>
      <c r="N20" s="9"/>
    </row>
    <row r="21" spans="1:14" ht="17.25">
      <c r="A21" s="36" t="s">
        <v>23</v>
      </c>
      <c r="B21" s="57" t="s">
        <v>43</v>
      </c>
      <c r="C21" s="36"/>
      <c r="D21" s="48" t="s">
        <v>59</v>
      </c>
      <c r="E21" s="15">
        <v>0.29199999999999998</v>
      </c>
      <c r="F21" s="15">
        <v>0.20499999999999999</v>
      </c>
      <c r="G21" s="15">
        <v>0.18099999999999999</v>
      </c>
      <c r="H21" s="15">
        <v>0.32</v>
      </c>
      <c r="I21" s="15">
        <v>0.63200000000000001</v>
      </c>
      <c r="J21" s="7">
        <v>0.108</v>
      </c>
      <c r="K21" s="7">
        <v>7.0000000000000001E-3</v>
      </c>
      <c r="L21" s="48" t="s">
        <v>59</v>
      </c>
      <c r="M21" s="6">
        <v>1.7449999999999999</v>
      </c>
      <c r="N21" s="9"/>
    </row>
    <row r="22" spans="1:14" ht="17.25">
      <c r="A22" s="36" t="s">
        <v>24</v>
      </c>
      <c r="B22" s="57" t="s">
        <v>43</v>
      </c>
      <c r="C22" s="36"/>
      <c r="D22" s="7">
        <v>0.111</v>
      </c>
      <c r="E22" s="15">
        <v>54.277749</v>
      </c>
      <c r="F22" s="15">
        <v>33.17</v>
      </c>
      <c r="G22" s="15">
        <v>14.991</v>
      </c>
      <c r="H22" s="15">
        <v>10.018000000000001</v>
      </c>
      <c r="I22" s="15">
        <v>8.1780000000000008</v>
      </c>
      <c r="J22" s="7">
        <v>2.8450000000000002</v>
      </c>
      <c r="K22" s="7">
        <v>1.516</v>
      </c>
      <c r="L22" s="8">
        <v>0.30299999999999999</v>
      </c>
      <c r="M22" s="6">
        <v>166.11799999999997</v>
      </c>
      <c r="N22" s="9"/>
    </row>
    <row r="23" spans="1:14" ht="17.25">
      <c r="A23" s="36" t="s">
        <v>25</v>
      </c>
      <c r="B23" s="57" t="s">
        <v>43</v>
      </c>
      <c r="C23" s="36"/>
      <c r="D23" s="48" t="s">
        <v>59</v>
      </c>
      <c r="E23" s="15">
        <v>4.5830000000000002</v>
      </c>
      <c r="F23" s="15">
        <v>0.13300000000000001</v>
      </c>
      <c r="G23" s="15">
        <v>5.3999999999999999E-2</v>
      </c>
      <c r="H23" s="15">
        <v>4.8000000000000001E-2</v>
      </c>
      <c r="I23" s="15">
        <v>4.1000000000000002E-2</v>
      </c>
      <c r="J23" s="7">
        <v>8.0000000000000002E-3</v>
      </c>
      <c r="K23" s="48" t="s">
        <v>59</v>
      </c>
      <c r="L23" s="48" t="s">
        <v>59</v>
      </c>
      <c r="M23" s="6">
        <v>4.8670000000000009</v>
      </c>
      <c r="N23" s="9"/>
    </row>
    <row r="24" spans="1:14" ht="17.25">
      <c r="A24" s="36" t="s">
        <v>26</v>
      </c>
      <c r="B24" s="57" t="s">
        <v>43</v>
      </c>
      <c r="C24" s="36"/>
      <c r="D24" s="48" t="s">
        <v>59</v>
      </c>
      <c r="E24" s="15">
        <v>4.3159999999999998</v>
      </c>
      <c r="F24" s="15">
        <v>8.4030000000000005</v>
      </c>
      <c r="G24" s="15">
        <v>8.2349999999999994</v>
      </c>
      <c r="H24" s="15">
        <v>11.725</v>
      </c>
      <c r="I24" s="15">
        <v>9.6470000000000002</v>
      </c>
      <c r="J24" s="7">
        <v>1.1759999999999999</v>
      </c>
      <c r="K24" s="7">
        <v>0.17499999999999999</v>
      </c>
      <c r="L24" s="8">
        <v>7.0000000000000001E-3</v>
      </c>
      <c r="M24" s="6">
        <v>43.683999999999997</v>
      </c>
      <c r="N24" s="9"/>
    </row>
    <row r="25" spans="1:14" ht="17.25">
      <c r="A25" s="36" t="s">
        <v>27</v>
      </c>
      <c r="B25" s="57" t="s">
        <v>43</v>
      </c>
      <c r="C25" s="36"/>
      <c r="D25" s="7">
        <v>2E-3</v>
      </c>
      <c r="E25" s="15">
        <v>28.111999999999998</v>
      </c>
      <c r="F25" s="15">
        <v>30.742999999999999</v>
      </c>
      <c r="G25" s="15">
        <v>25.03</v>
      </c>
      <c r="H25" s="15">
        <v>15.811</v>
      </c>
      <c r="I25" s="15">
        <v>4.1100000000000003</v>
      </c>
      <c r="J25" s="7">
        <v>0.36199999999999999</v>
      </c>
      <c r="K25" s="7">
        <v>0.08</v>
      </c>
      <c r="L25" s="8">
        <v>6.0000000000000001E-3</v>
      </c>
      <c r="M25" s="6">
        <v>104.256</v>
      </c>
      <c r="N25" s="9"/>
    </row>
    <row r="26" spans="1:14" ht="17.25">
      <c r="A26" s="36" t="s">
        <v>28</v>
      </c>
      <c r="B26" s="57" t="s">
        <v>43</v>
      </c>
      <c r="C26" s="36"/>
      <c r="D26" s="7">
        <v>0.11700000000000001</v>
      </c>
      <c r="E26" s="15">
        <v>899.42100000000005</v>
      </c>
      <c r="F26" s="15">
        <v>233.27600000000001</v>
      </c>
      <c r="G26" s="15">
        <v>107.818</v>
      </c>
      <c r="H26" s="15">
        <v>40.343000000000004</v>
      </c>
      <c r="I26" s="15">
        <v>10.802</v>
      </c>
      <c r="J26" s="7">
        <v>2.1480000000000001</v>
      </c>
      <c r="K26" s="7">
        <v>0.86799999999999999</v>
      </c>
      <c r="L26" s="8">
        <v>7.8E-2</v>
      </c>
      <c r="M26" s="6">
        <v>1294.8709999999999</v>
      </c>
      <c r="N26" s="9"/>
    </row>
    <row r="27" spans="1:14" ht="17.25">
      <c r="A27" s="36" t="s">
        <v>29</v>
      </c>
      <c r="B27" s="57" t="s">
        <v>43</v>
      </c>
      <c r="C27" s="36"/>
      <c r="D27" s="7">
        <v>0.04</v>
      </c>
      <c r="E27" s="15">
        <v>120.46899999999999</v>
      </c>
      <c r="F27" s="15">
        <v>23.616</v>
      </c>
      <c r="G27" s="15">
        <v>9.9019999999999992</v>
      </c>
      <c r="H27" s="15">
        <v>7.3680000000000003</v>
      </c>
      <c r="I27" s="15">
        <v>4.806</v>
      </c>
      <c r="J27" s="7">
        <v>1.7509999999999999</v>
      </c>
      <c r="K27" s="7">
        <v>0.76300000000000001</v>
      </c>
      <c r="L27" s="8">
        <v>0.04</v>
      </c>
      <c r="M27" s="6">
        <v>168.755</v>
      </c>
      <c r="N27" s="9"/>
    </row>
    <row r="28" spans="1:14" ht="17.25">
      <c r="A28" s="36" t="s">
        <v>30</v>
      </c>
      <c r="B28" s="57" t="s">
        <v>43</v>
      </c>
      <c r="C28" s="36"/>
      <c r="D28" s="7">
        <v>0.252</v>
      </c>
      <c r="E28" s="15">
        <v>678.29</v>
      </c>
      <c r="F28" s="15">
        <v>51.607999999999997</v>
      </c>
      <c r="G28" s="15">
        <v>26.867000000000001</v>
      </c>
      <c r="H28" s="15">
        <v>15.077</v>
      </c>
      <c r="I28" s="15">
        <v>9.2409999999999997</v>
      </c>
      <c r="J28" s="7">
        <v>2.9689999999999999</v>
      </c>
      <c r="K28" s="7">
        <v>1.788</v>
      </c>
      <c r="L28" s="8">
        <v>0.30499999999999999</v>
      </c>
      <c r="M28" s="6">
        <v>786.39699999999982</v>
      </c>
      <c r="N28" s="9"/>
    </row>
    <row r="29" spans="1:14" ht="17.25">
      <c r="A29" s="36" t="s">
        <v>31</v>
      </c>
      <c r="B29" s="57" t="s">
        <v>43</v>
      </c>
      <c r="C29" s="36"/>
      <c r="D29" s="48" t="s">
        <v>59</v>
      </c>
      <c r="E29" s="15">
        <v>38.103000000000002</v>
      </c>
      <c r="F29" s="15">
        <v>11.536</v>
      </c>
      <c r="G29" s="15">
        <v>3.629</v>
      </c>
      <c r="H29" s="15">
        <v>1.367</v>
      </c>
      <c r="I29" s="15">
        <v>0.41399999999999998</v>
      </c>
      <c r="J29" s="7">
        <v>3.2000000000000001E-2</v>
      </c>
      <c r="K29" s="7">
        <v>8.9999999999999993E-3</v>
      </c>
      <c r="L29" s="8">
        <v>8.0000000000000002E-3</v>
      </c>
      <c r="M29" s="6">
        <v>55.097999999999999</v>
      </c>
      <c r="N29" s="9"/>
    </row>
    <row r="30" spans="1:14" ht="17.25">
      <c r="A30" s="36" t="s">
        <v>32</v>
      </c>
      <c r="B30" s="57" t="s">
        <v>43</v>
      </c>
      <c r="C30" s="36"/>
      <c r="D30" s="48" t="s">
        <v>59</v>
      </c>
      <c r="E30" s="15">
        <v>10.529</v>
      </c>
      <c r="F30" s="15">
        <v>2.7890000000000001</v>
      </c>
      <c r="G30" s="15">
        <v>1.462</v>
      </c>
      <c r="H30" s="15">
        <v>1.0109999999999999</v>
      </c>
      <c r="I30" s="15">
        <v>0.92700000000000005</v>
      </c>
      <c r="J30" s="7">
        <v>0.52400000000000002</v>
      </c>
      <c r="K30" s="7">
        <v>0.66900000000000004</v>
      </c>
      <c r="L30" s="8">
        <v>0.32</v>
      </c>
      <c r="M30" s="6">
        <v>18.231000000000002</v>
      </c>
      <c r="N30" s="9"/>
    </row>
    <row r="31" spans="1:14" ht="17.25">
      <c r="A31" s="36" t="s">
        <v>33</v>
      </c>
      <c r="B31" s="57" t="s">
        <v>43</v>
      </c>
      <c r="C31" s="36"/>
      <c r="D31" s="48" t="s">
        <v>59</v>
      </c>
      <c r="E31" s="15">
        <v>10.271000000000001</v>
      </c>
      <c r="F31" s="15">
        <v>12.356</v>
      </c>
      <c r="G31" s="15">
        <v>9.9390000000000001</v>
      </c>
      <c r="H31" s="15">
        <v>8.218</v>
      </c>
      <c r="I31" s="15">
        <v>5.61</v>
      </c>
      <c r="J31" s="7">
        <v>1.05</v>
      </c>
      <c r="K31" s="7">
        <v>0.247</v>
      </c>
      <c r="L31" s="8">
        <v>1.0999999999999999E-2</v>
      </c>
      <c r="M31" s="6">
        <v>47.702000000000005</v>
      </c>
      <c r="N31" s="9"/>
    </row>
    <row r="32" spans="1:14" ht="17.25">
      <c r="A32" s="36" t="s">
        <v>34</v>
      </c>
      <c r="B32" s="57" t="s">
        <v>43</v>
      </c>
      <c r="C32" s="36"/>
      <c r="D32" s="7">
        <v>0.01</v>
      </c>
      <c r="E32" s="15">
        <v>17.684999999999999</v>
      </c>
      <c r="F32" s="15">
        <v>14.634</v>
      </c>
      <c r="G32" s="15">
        <v>7.915</v>
      </c>
      <c r="H32" s="15">
        <v>6.4589999999999996</v>
      </c>
      <c r="I32" s="15">
        <v>6.4960000000000004</v>
      </c>
      <c r="J32" s="7">
        <v>2.218</v>
      </c>
      <c r="K32" s="7">
        <v>0.63100000000000001</v>
      </c>
      <c r="L32" s="8">
        <v>1.9E-2</v>
      </c>
      <c r="M32" s="6">
        <v>56.067</v>
      </c>
      <c r="N32" s="9"/>
    </row>
    <row r="33" spans="1:17" ht="17.25">
      <c r="A33" s="37" t="s">
        <v>66</v>
      </c>
      <c r="B33" s="58" t="s">
        <v>43</v>
      </c>
      <c r="C33" s="36"/>
      <c r="D33" s="13">
        <v>2.9249999999999998</v>
      </c>
      <c r="E33" s="12">
        <v>3499.9870000000001</v>
      </c>
      <c r="F33" s="12">
        <v>1037.5650000000001</v>
      </c>
      <c r="G33" s="12">
        <v>585.73400000000004</v>
      </c>
      <c r="H33" s="12">
        <v>429.16199999999998</v>
      </c>
      <c r="I33" s="12">
        <v>334.21600000000001</v>
      </c>
      <c r="J33" s="13">
        <v>78.009</v>
      </c>
      <c r="K33" s="13">
        <v>24.035</v>
      </c>
      <c r="L33" s="14">
        <v>3.9710000000000001</v>
      </c>
      <c r="M33" s="39">
        <v>5995.6040000000012</v>
      </c>
      <c r="N33" s="9"/>
    </row>
    <row r="34" spans="1:17" ht="17.25">
      <c r="A34" s="59" t="s">
        <v>35</v>
      </c>
      <c r="B34" s="57" t="s">
        <v>43</v>
      </c>
      <c r="C34" s="40"/>
      <c r="D34" s="7">
        <v>0.48199999999999998</v>
      </c>
      <c r="E34" s="15">
        <v>8.3000000000000004E-2</v>
      </c>
      <c r="F34" s="15">
        <v>1.4E-2</v>
      </c>
      <c r="G34" s="15">
        <v>5.0000000000000001E-3</v>
      </c>
      <c r="H34" s="15">
        <v>3.0000000000000001E-3</v>
      </c>
      <c r="I34" s="48" t="s">
        <v>59</v>
      </c>
      <c r="J34" s="7">
        <v>1E-3</v>
      </c>
      <c r="K34" s="7">
        <v>1E-3</v>
      </c>
      <c r="L34" s="48" t="s">
        <v>59</v>
      </c>
      <c r="M34" s="6">
        <v>0.58899999999999997</v>
      </c>
      <c r="N34" s="9"/>
    </row>
    <row r="35" spans="1:17" ht="17.25">
      <c r="A35" s="20" t="s">
        <v>52</v>
      </c>
      <c r="B35" s="20"/>
      <c r="C35" s="20"/>
      <c r="D35" s="20"/>
      <c r="E35" s="20"/>
      <c r="F35" s="20"/>
      <c r="G35" s="20"/>
      <c r="H35" s="20"/>
      <c r="I35" s="20"/>
      <c r="J35" s="20"/>
      <c r="K35" s="21"/>
      <c r="L35" s="20"/>
      <c r="M35" s="20"/>
      <c r="O35" s="16"/>
    </row>
    <row r="36" spans="1:17" s="53" customFormat="1" ht="39.75" customHeight="1">
      <c r="A36" s="44" t="s">
        <v>5</v>
      </c>
      <c r="B36" s="47" t="s">
        <v>39</v>
      </c>
      <c r="C36" s="47" t="s">
        <v>40</v>
      </c>
      <c r="D36" s="54" t="s">
        <v>36</v>
      </c>
      <c r="E36" s="55" t="s">
        <v>44</v>
      </c>
      <c r="F36" s="55" t="s">
        <v>49</v>
      </c>
      <c r="G36" s="55" t="s">
        <v>50</v>
      </c>
      <c r="H36" s="55" t="s">
        <v>51</v>
      </c>
      <c r="I36" s="55" t="s">
        <v>48</v>
      </c>
      <c r="J36" s="55" t="s">
        <v>47</v>
      </c>
      <c r="K36" s="55" t="s">
        <v>46</v>
      </c>
      <c r="L36" s="55" t="s">
        <v>45</v>
      </c>
      <c r="M36" s="56" t="s">
        <v>37</v>
      </c>
    </row>
    <row r="37" spans="1:17" ht="17.25">
      <c r="A37" s="36" t="s">
        <v>8</v>
      </c>
      <c r="B37" s="57" t="s">
        <v>41</v>
      </c>
      <c r="C37" s="36"/>
      <c r="D37" s="23">
        <v>0.06</v>
      </c>
      <c r="E37" s="23">
        <v>14.74</v>
      </c>
      <c r="F37" s="23">
        <v>18.23</v>
      </c>
      <c r="G37" s="23">
        <v>17.579999999999998</v>
      </c>
      <c r="H37" s="23">
        <v>23.95</v>
      </c>
      <c r="I37" s="23">
        <v>21.42</v>
      </c>
      <c r="J37" s="24">
        <v>3.66</v>
      </c>
      <c r="K37" s="24">
        <v>0.35</v>
      </c>
      <c r="L37" s="24">
        <v>0</v>
      </c>
      <c r="M37" s="45">
        <v>100</v>
      </c>
      <c r="N37" s="25"/>
      <c r="O37" s="26"/>
      <c r="P37" s="6"/>
      <c r="Q37" s="27"/>
    </row>
    <row r="38" spans="1:17" ht="17.25">
      <c r="A38" s="36" t="s">
        <v>9</v>
      </c>
      <c r="B38" s="57" t="s">
        <v>41</v>
      </c>
      <c r="C38" s="36"/>
      <c r="D38" s="23">
        <v>0</v>
      </c>
      <c r="E38" s="23">
        <v>38.39</v>
      </c>
      <c r="F38" s="23">
        <v>21.32</v>
      </c>
      <c r="G38" s="23">
        <v>16.8</v>
      </c>
      <c r="H38" s="23">
        <v>11.43</v>
      </c>
      <c r="I38" s="23">
        <v>6.42</v>
      </c>
      <c r="J38" s="24">
        <v>2.78</v>
      </c>
      <c r="K38" s="24">
        <v>2.42</v>
      </c>
      <c r="L38" s="24">
        <v>0.43</v>
      </c>
      <c r="M38" s="45">
        <v>100</v>
      </c>
      <c r="N38" s="25"/>
      <c r="O38" s="27"/>
      <c r="P38" s="28"/>
    </row>
    <row r="39" spans="1:17" ht="17.25">
      <c r="A39" s="36" t="s">
        <v>10</v>
      </c>
      <c r="B39" s="57" t="s">
        <v>41</v>
      </c>
      <c r="C39" s="36"/>
      <c r="D39" s="23" t="s">
        <v>59</v>
      </c>
      <c r="E39" s="23">
        <v>36.5</v>
      </c>
      <c r="F39" s="23">
        <v>20.16</v>
      </c>
      <c r="G39" s="23">
        <v>12.85</v>
      </c>
      <c r="H39" s="23">
        <v>11.04</v>
      </c>
      <c r="I39" s="23">
        <v>9.23</v>
      </c>
      <c r="J39" s="24">
        <v>3.7</v>
      </c>
      <c r="K39" s="24">
        <v>4.3499999999999996</v>
      </c>
      <c r="L39" s="24">
        <v>2.1800000000000002</v>
      </c>
      <c r="M39" s="45">
        <v>100</v>
      </c>
      <c r="N39" s="25"/>
      <c r="O39" s="27"/>
      <c r="P39" s="28"/>
    </row>
    <row r="40" spans="1:17" ht="17.25">
      <c r="A40" s="36" t="s">
        <v>11</v>
      </c>
      <c r="B40" s="57" t="s">
        <v>41</v>
      </c>
      <c r="C40" s="36"/>
      <c r="D40" s="23">
        <v>0.04</v>
      </c>
      <c r="E40" s="23">
        <v>28.79</v>
      </c>
      <c r="F40" s="23">
        <v>20.94</v>
      </c>
      <c r="G40" s="23">
        <v>12.78</v>
      </c>
      <c r="H40" s="23">
        <v>10.88</v>
      </c>
      <c r="I40" s="23">
        <v>13.72</v>
      </c>
      <c r="J40" s="24">
        <v>8.1300000000000008</v>
      </c>
      <c r="K40" s="24">
        <v>4.41</v>
      </c>
      <c r="L40" s="24">
        <v>0.3</v>
      </c>
      <c r="M40" s="45">
        <v>100</v>
      </c>
      <c r="N40" s="25"/>
      <c r="O40" s="27"/>
    </row>
    <row r="41" spans="1:17" s="31" customFormat="1" ht="17.25">
      <c r="A41" s="37" t="s">
        <v>12</v>
      </c>
      <c r="B41" s="58" t="s">
        <v>41</v>
      </c>
      <c r="C41" s="37"/>
      <c r="D41" s="29">
        <v>0.01</v>
      </c>
      <c r="E41" s="29">
        <v>25.98</v>
      </c>
      <c r="F41" s="29">
        <v>20.3</v>
      </c>
      <c r="G41" s="29">
        <v>16.399999999999999</v>
      </c>
      <c r="H41" s="29">
        <v>17.84</v>
      </c>
      <c r="I41" s="29">
        <v>14.75</v>
      </c>
      <c r="J41" s="30">
        <v>3.02</v>
      </c>
      <c r="K41" s="30">
        <v>1.3599999999999999</v>
      </c>
      <c r="L41" s="30">
        <v>0.36</v>
      </c>
      <c r="M41" s="46">
        <v>100</v>
      </c>
      <c r="N41" s="25"/>
      <c r="O41" s="27"/>
    </row>
    <row r="42" spans="1:17" ht="17.25">
      <c r="A42" s="36" t="s">
        <v>13</v>
      </c>
      <c r="B42" s="57" t="s">
        <v>41</v>
      </c>
      <c r="C42" s="36"/>
      <c r="D42" s="23" t="s">
        <v>59</v>
      </c>
      <c r="E42" s="23">
        <v>53.64</v>
      </c>
      <c r="F42" s="23">
        <v>17.75</v>
      </c>
      <c r="G42" s="23">
        <v>9.4</v>
      </c>
      <c r="H42" s="23">
        <v>6.84</v>
      </c>
      <c r="I42" s="23">
        <v>6.89</v>
      </c>
      <c r="J42" s="24">
        <v>3.18</v>
      </c>
      <c r="K42" s="24">
        <v>1.97</v>
      </c>
      <c r="L42" s="24">
        <v>0.33999999999999997</v>
      </c>
      <c r="M42" s="45">
        <v>100</v>
      </c>
      <c r="N42" s="25"/>
      <c r="O42" s="27"/>
    </row>
    <row r="43" spans="1:17" ht="17.25">
      <c r="A43" s="36" t="s">
        <v>14</v>
      </c>
      <c r="B43" s="57" t="s">
        <v>41</v>
      </c>
      <c r="C43" s="36"/>
      <c r="D43" s="23">
        <v>0</v>
      </c>
      <c r="E43" s="23">
        <v>12.93</v>
      </c>
      <c r="F43" s="23">
        <v>27.7</v>
      </c>
      <c r="G43" s="23">
        <v>28.01</v>
      </c>
      <c r="H43" s="23">
        <v>20.399999999999999</v>
      </c>
      <c r="I43" s="23">
        <v>9.7200000000000006</v>
      </c>
      <c r="J43" s="24">
        <v>1.1000000000000001</v>
      </c>
      <c r="K43" s="24">
        <v>0.14000000000000001</v>
      </c>
      <c r="L43" s="23" t="s">
        <v>59</v>
      </c>
      <c r="M43" s="45">
        <v>100</v>
      </c>
      <c r="N43" s="25"/>
      <c r="O43" s="27"/>
    </row>
    <row r="44" spans="1:17" ht="17.25">
      <c r="A44" s="36" t="s">
        <v>15</v>
      </c>
      <c r="B44" s="57" t="s">
        <v>41</v>
      </c>
      <c r="C44" s="36"/>
      <c r="D44" s="23">
        <v>0</v>
      </c>
      <c r="E44" s="23">
        <v>60.05</v>
      </c>
      <c r="F44" s="23">
        <v>22.21</v>
      </c>
      <c r="G44" s="23">
        <v>10.72</v>
      </c>
      <c r="H44" s="23">
        <v>5.24</v>
      </c>
      <c r="I44" s="23">
        <v>1.63</v>
      </c>
      <c r="J44" s="24">
        <v>0.13</v>
      </c>
      <c r="K44" s="24">
        <v>0.01</v>
      </c>
      <c r="L44" s="23" t="s">
        <v>59</v>
      </c>
      <c r="M44" s="45">
        <v>100</v>
      </c>
      <c r="N44" s="25"/>
      <c r="O44" s="27"/>
    </row>
    <row r="45" spans="1:17" ht="17.25">
      <c r="A45" s="36" t="s">
        <v>16</v>
      </c>
      <c r="B45" s="57" t="s">
        <v>41</v>
      </c>
      <c r="C45" s="36"/>
      <c r="D45" s="23">
        <v>0.08</v>
      </c>
      <c r="E45" s="23">
        <v>47.11</v>
      </c>
      <c r="F45" s="23">
        <v>20.77</v>
      </c>
      <c r="G45" s="23">
        <v>12.12</v>
      </c>
      <c r="H45" s="23">
        <v>9.89</v>
      </c>
      <c r="I45" s="23">
        <v>7.77</v>
      </c>
      <c r="J45" s="24">
        <v>1.69</v>
      </c>
      <c r="K45" s="24">
        <v>0.5</v>
      </c>
      <c r="L45" s="24">
        <v>0.04</v>
      </c>
      <c r="M45" s="45">
        <v>100</v>
      </c>
      <c r="N45" s="25"/>
      <c r="O45" s="27"/>
    </row>
    <row r="46" spans="1:17" ht="17.25">
      <c r="A46" s="36" t="s">
        <v>17</v>
      </c>
      <c r="B46" s="57" t="s">
        <v>41</v>
      </c>
      <c r="C46" s="36"/>
      <c r="D46" s="23">
        <v>0.24</v>
      </c>
      <c r="E46" s="23">
        <v>16.27</v>
      </c>
      <c r="F46" s="23">
        <v>10.26</v>
      </c>
      <c r="G46" s="23">
        <v>10.45</v>
      </c>
      <c r="H46" s="23">
        <v>19.93</v>
      </c>
      <c r="I46" s="23">
        <v>33.94</v>
      </c>
      <c r="J46" s="24">
        <v>8.14</v>
      </c>
      <c r="K46" s="24">
        <v>0.73</v>
      </c>
      <c r="L46" s="24">
        <v>0.04</v>
      </c>
      <c r="M46" s="45">
        <v>100</v>
      </c>
      <c r="N46" s="25"/>
      <c r="O46" s="27"/>
    </row>
    <row r="47" spans="1:17" ht="17.25">
      <c r="A47" s="36" t="s">
        <v>18</v>
      </c>
      <c r="B47" s="57" t="s">
        <v>41</v>
      </c>
      <c r="C47" s="36"/>
      <c r="D47" s="23">
        <v>0.01</v>
      </c>
      <c r="E47" s="23">
        <v>72.62</v>
      </c>
      <c r="F47" s="23">
        <v>15.46</v>
      </c>
      <c r="G47" s="23">
        <v>5.91</v>
      </c>
      <c r="H47" s="23">
        <v>3.75</v>
      </c>
      <c r="I47" s="23">
        <v>1.82</v>
      </c>
      <c r="J47" s="24">
        <v>0.28000000000000003</v>
      </c>
      <c r="K47" s="24">
        <v>0.10999999999999999</v>
      </c>
      <c r="L47" s="24">
        <v>0.03</v>
      </c>
      <c r="M47" s="45">
        <v>100</v>
      </c>
      <c r="N47" s="25"/>
      <c r="O47" s="27"/>
    </row>
    <row r="48" spans="1:17" ht="17.25">
      <c r="A48" s="36" t="s">
        <v>19</v>
      </c>
      <c r="B48" s="57" t="s">
        <v>41</v>
      </c>
      <c r="C48" s="36"/>
      <c r="D48" s="23">
        <v>0.13</v>
      </c>
      <c r="E48" s="23">
        <v>65.16</v>
      </c>
      <c r="F48" s="23">
        <v>17.68</v>
      </c>
      <c r="G48" s="23">
        <v>8.2899999999999991</v>
      </c>
      <c r="H48" s="23">
        <v>4.87</v>
      </c>
      <c r="I48" s="23">
        <v>2.86</v>
      </c>
      <c r="J48" s="24">
        <v>0.75</v>
      </c>
      <c r="K48" s="24">
        <v>0.24</v>
      </c>
      <c r="L48" s="24">
        <v>0.02</v>
      </c>
      <c r="M48" s="45">
        <v>100</v>
      </c>
      <c r="N48" s="25"/>
      <c r="O48" s="27"/>
    </row>
    <row r="49" spans="1:20" ht="17.25">
      <c r="A49" s="36" t="s">
        <v>20</v>
      </c>
      <c r="B49" s="57" t="s">
        <v>41</v>
      </c>
      <c r="C49" s="36"/>
      <c r="D49" s="23">
        <v>0</v>
      </c>
      <c r="E49" s="23">
        <v>86.08</v>
      </c>
      <c r="F49" s="23">
        <v>8.44</v>
      </c>
      <c r="G49" s="23">
        <v>2.85</v>
      </c>
      <c r="H49" s="23">
        <v>1.64</v>
      </c>
      <c r="I49" s="23">
        <v>0.83</v>
      </c>
      <c r="J49" s="24">
        <v>0.15</v>
      </c>
      <c r="K49" s="24">
        <v>0.02</v>
      </c>
      <c r="L49" s="23" t="s">
        <v>59</v>
      </c>
      <c r="M49" s="45">
        <v>100</v>
      </c>
      <c r="N49" s="25"/>
      <c r="O49" s="27"/>
    </row>
    <row r="50" spans="1:20" ht="17.25">
      <c r="A50" s="36" t="s">
        <v>21</v>
      </c>
      <c r="B50" s="57" t="s">
        <v>41</v>
      </c>
      <c r="C50" s="36"/>
      <c r="D50" s="23" t="s">
        <v>59</v>
      </c>
      <c r="E50" s="23">
        <v>69.66</v>
      </c>
      <c r="F50" s="23">
        <v>14.49</v>
      </c>
      <c r="G50" s="23">
        <v>6.39</v>
      </c>
      <c r="H50" s="23">
        <v>4.32</v>
      </c>
      <c r="I50" s="23">
        <v>3.29</v>
      </c>
      <c r="J50" s="24">
        <v>1.17</v>
      </c>
      <c r="K50" s="24">
        <v>0.58000000000000007</v>
      </c>
      <c r="L50" s="24">
        <v>0.1</v>
      </c>
      <c r="M50" s="45">
        <v>100</v>
      </c>
      <c r="N50" s="25"/>
      <c r="O50" s="27"/>
      <c r="T50" s="27"/>
    </row>
    <row r="51" spans="1:20" ht="17.25">
      <c r="A51" s="36" t="s">
        <v>22</v>
      </c>
      <c r="B51" s="57" t="s">
        <v>41</v>
      </c>
      <c r="C51" s="36"/>
      <c r="D51" s="23">
        <v>0.03</v>
      </c>
      <c r="E51" s="23">
        <v>66.5</v>
      </c>
      <c r="F51" s="23">
        <v>16.97</v>
      </c>
      <c r="G51" s="23">
        <v>7.51</v>
      </c>
      <c r="H51" s="23">
        <v>5.09</v>
      </c>
      <c r="I51" s="23">
        <v>3</v>
      </c>
      <c r="J51" s="24">
        <v>0.64</v>
      </c>
      <c r="K51" s="24">
        <v>0.21</v>
      </c>
      <c r="L51" s="24">
        <v>0.04</v>
      </c>
      <c r="M51" s="45">
        <v>100</v>
      </c>
      <c r="N51" s="25"/>
      <c r="O51" s="27"/>
    </row>
    <row r="52" spans="1:20" ht="17.25">
      <c r="A52" s="36" t="s">
        <v>23</v>
      </c>
      <c r="B52" s="57" t="s">
        <v>41</v>
      </c>
      <c r="C52" s="36"/>
      <c r="D52" s="23" t="s">
        <v>59</v>
      </c>
      <c r="E52" s="23">
        <v>16.73</v>
      </c>
      <c r="F52" s="23">
        <v>11.75</v>
      </c>
      <c r="G52" s="23">
        <v>10.37</v>
      </c>
      <c r="H52" s="23">
        <v>18.34</v>
      </c>
      <c r="I52" s="23">
        <v>36.22</v>
      </c>
      <c r="J52" s="24">
        <v>6.19</v>
      </c>
      <c r="K52" s="24">
        <v>0.4</v>
      </c>
      <c r="L52" s="23" t="s">
        <v>59</v>
      </c>
      <c r="M52" s="45">
        <v>100</v>
      </c>
      <c r="N52" s="25"/>
      <c r="O52" s="27"/>
    </row>
    <row r="53" spans="1:20" ht="17.25">
      <c r="A53" s="36" t="s">
        <v>24</v>
      </c>
      <c r="B53" s="57" t="s">
        <v>41</v>
      </c>
      <c r="C53" s="36"/>
      <c r="D53" s="23">
        <v>7.0000000000000007E-2</v>
      </c>
      <c r="E53" s="23">
        <v>57.18</v>
      </c>
      <c r="F53" s="23">
        <v>19.97</v>
      </c>
      <c r="G53" s="23">
        <v>9.02</v>
      </c>
      <c r="H53" s="23">
        <v>6.03</v>
      </c>
      <c r="I53" s="23">
        <v>4.92</v>
      </c>
      <c r="J53" s="24">
        <v>1.71</v>
      </c>
      <c r="K53" s="24">
        <v>0.91</v>
      </c>
      <c r="L53" s="24">
        <v>0.18000000000000002</v>
      </c>
      <c r="M53" s="45">
        <v>100</v>
      </c>
      <c r="N53" s="25"/>
      <c r="O53" s="27"/>
      <c r="P53" s="28"/>
    </row>
    <row r="54" spans="1:20" ht="17.25">
      <c r="A54" s="36" t="s">
        <v>25</v>
      </c>
      <c r="B54" s="57" t="s">
        <v>41</v>
      </c>
      <c r="C54" s="36"/>
      <c r="D54" s="23" t="s">
        <v>59</v>
      </c>
      <c r="E54" s="23">
        <v>94.17</v>
      </c>
      <c r="F54" s="23">
        <v>2.73</v>
      </c>
      <c r="G54" s="23">
        <v>1.1100000000000001</v>
      </c>
      <c r="H54" s="23">
        <v>0.99</v>
      </c>
      <c r="I54" s="23">
        <v>0.84</v>
      </c>
      <c r="J54" s="24">
        <v>0.16</v>
      </c>
      <c r="K54" s="23" t="s">
        <v>59</v>
      </c>
      <c r="L54" s="23" t="s">
        <v>59</v>
      </c>
      <c r="M54" s="45">
        <v>100</v>
      </c>
      <c r="N54" s="25"/>
      <c r="O54" s="27"/>
      <c r="P54" s="28"/>
    </row>
    <row r="55" spans="1:20" ht="17.25">
      <c r="A55" s="36" t="s">
        <v>26</v>
      </c>
      <c r="B55" s="57" t="s">
        <v>41</v>
      </c>
      <c r="C55" s="36"/>
      <c r="D55" s="23" t="s">
        <v>59</v>
      </c>
      <c r="E55" s="23">
        <v>9.879999999999999</v>
      </c>
      <c r="F55" s="23">
        <v>19.239999999999998</v>
      </c>
      <c r="G55" s="23">
        <v>18.850000000000001</v>
      </c>
      <c r="H55" s="23">
        <v>26.84</v>
      </c>
      <c r="I55" s="23">
        <v>22.08</v>
      </c>
      <c r="J55" s="24">
        <v>2.69</v>
      </c>
      <c r="K55" s="24">
        <v>0.4</v>
      </c>
      <c r="L55" s="24">
        <v>0.01</v>
      </c>
      <c r="M55" s="45">
        <v>100</v>
      </c>
      <c r="N55" s="25"/>
      <c r="O55" s="27"/>
      <c r="P55" s="28"/>
    </row>
    <row r="56" spans="1:20" ht="17.25">
      <c r="A56" s="36" t="s">
        <v>27</v>
      </c>
      <c r="B56" s="57" t="s">
        <v>41</v>
      </c>
      <c r="C56" s="36"/>
      <c r="D56" s="23">
        <v>0</v>
      </c>
      <c r="E56" s="23">
        <v>26.97</v>
      </c>
      <c r="F56" s="23">
        <v>29.49</v>
      </c>
      <c r="G56" s="23">
        <v>24.01</v>
      </c>
      <c r="H56" s="23">
        <v>15.17</v>
      </c>
      <c r="I56" s="23">
        <v>3.94</v>
      </c>
      <c r="J56" s="24">
        <v>0.35</v>
      </c>
      <c r="K56" s="24">
        <v>7.0000000000000007E-2</v>
      </c>
      <c r="L56" s="24">
        <v>0</v>
      </c>
      <c r="M56" s="45">
        <v>100</v>
      </c>
      <c r="N56" s="25"/>
      <c r="O56" s="27"/>
      <c r="P56" s="28"/>
    </row>
    <row r="57" spans="1:20" ht="17.25">
      <c r="A57" s="36" t="s">
        <v>28</v>
      </c>
      <c r="B57" s="57" t="s">
        <v>41</v>
      </c>
      <c r="C57" s="36"/>
      <c r="D57" s="23">
        <v>0.01</v>
      </c>
      <c r="E57" s="23">
        <v>69.460000000000008</v>
      </c>
      <c r="F57" s="23">
        <v>18.02</v>
      </c>
      <c r="G57" s="23">
        <v>8.33</v>
      </c>
      <c r="H57" s="23">
        <v>3.12</v>
      </c>
      <c r="I57" s="23">
        <v>0.83</v>
      </c>
      <c r="J57" s="24">
        <v>0.17</v>
      </c>
      <c r="K57" s="24">
        <v>6.0000000000000005E-2</v>
      </c>
      <c r="L57" s="24">
        <v>0</v>
      </c>
      <c r="M57" s="45">
        <v>100</v>
      </c>
      <c r="N57" s="25"/>
      <c r="O57" s="27"/>
    </row>
    <row r="58" spans="1:20" ht="17.25">
      <c r="A58" s="36" t="s">
        <v>29</v>
      </c>
      <c r="B58" s="57" t="s">
        <v>41</v>
      </c>
      <c r="C58" s="36"/>
      <c r="D58" s="23">
        <v>0.02</v>
      </c>
      <c r="E58" s="23">
        <v>71.38</v>
      </c>
      <c r="F58" s="23">
        <v>13.99</v>
      </c>
      <c r="G58" s="23">
        <v>5.87</v>
      </c>
      <c r="H58" s="23">
        <v>4.37</v>
      </c>
      <c r="I58" s="23">
        <v>2.85</v>
      </c>
      <c r="J58" s="24">
        <v>1.04</v>
      </c>
      <c r="K58" s="24">
        <v>0.44</v>
      </c>
      <c r="L58" s="24">
        <v>0.03</v>
      </c>
      <c r="M58" s="45">
        <v>100</v>
      </c>
      <c r="N58" s="25"/>
      <c r="O58" s="27"/>
      <c r="P58" s="28"/>
    </row>
    <row r="59" spans="1:20" ht="17.25">
      <c r="A59" s="36" t="s">
        <v>30</v>
      </c>
      <c r="B59" s="57" t="s">
        <v>41</v>
      </c>
      <c r="C59" s="36"/>
      <c r="D59" s="23">
        <v>0.03</v>
      </c>
      <c r="E59" s="23">
        <v>86.25</v>
      </c>
      <c r="F59" s="23">
        <v>6.56</v>
      </c>
      <c r="G59" s="23">
        <v>3.42</v>
      </c>
      <c r="H59" s="23">
        <v>1.92</v>
      </c>
      <c r="I59" s="23">
        <v>1.18</v>
      </c>
      <c r="J59" s="24">
        <v>0.38</v>
      </c>
      <c r="K59" s="24">
        <v>0.21999999999999997</v>
      </c>
      <c r="L59" s="24">
        <v>0.04</v>
      </c>
      <c r="M59" s="45">
        <v>100</v>
      </c>
      <c r="N59" s="25"/>
      <c r="O59" s="27"/>
      <c r="P59" s="28"/>
    </row>
    <row r="60" spans="1:20" ht="17.25">
      <c r="A60" s="36" t="s">
        <v>31</v>
      </c>
      <c r="B60" s="57" t="s">
        <v>41</v>
      </c>
      <c r="C60" s="36"/>
      <c r="D60" s="23" t="s">
        <v>59</v>
      </c>
      <c r="E60" s="23">
        <v>69.16</v>
      </c>
      <c r="F60" s="23">
        <v>20.94</v>
      </c>
      <c r="G60" s="23">
        <v>6.59</v>
      </c>
      <c r="H60" s="23">
        <v>2.48</v>
      </c>
      <c r="I60" s="23">
        <v>0.75</v>
      </c>
      <c r="J60" s="24">
        <v>0.06</v>
      </c>
      <c r="K60" s="24">
        <v>0.01</v>
      </c>
      <c r="L60" s="24">
        <v>0.02</v>
      </c>
      <c r="M60" s="45">
        <v>100</v>
      </c>
      <c r="N60" s="25"/>
      <c r="O60" s="27"/>
      <c r="P60" s="28"/>
    </row>
    <row r="61" spans="1:20" ht="17.25">
      <c r="A61" s="36" t="s">
        <v>32</v>
      </c>
      <c r="B61" s="57" t="s">
        <v>41</v>
      </c>
      <c r="C61" s="36"/>
      <c r="D61" s="23" t="s">
        <v>59</v>
      </c>
      <c r="E61" s="23">
        <v>57.75</v>
      </c>
      <c r="F61" s="23">
        <v>15.3</v>
      </c>
      <c r="G61" s="23">
        <v>8.02</v>
      </c>
      <c r="H61" s="23">
        <v>5.55</v>
      </c>
      <c r="I61" s="23">
        <v>5.08</v>
      </c>
      <c r="J61" s="24">
        <v>2.87</v>
      </c>
      <c r="K61" s="24">
        <v>3.67</v>
      </c>
      <c r="L61" s="24">
        <v>1.75</v>
      </c>
      <c r="M61" s="45">
        <v>100</v>
      </c>
      <c r="N61" s="25"/>
      <c r="O61" s="27"/>
      <c r="P61" s="28"/>
    </row>
    <row r="62" spans="1:20" ht="17.25">
      <c r="A62" s="36" t="s">
        <v>33</v>
      </c>
      <c r="B62" s="57" t="s">
        <v>41</v>
      </c>
      <c r="C62" s="36"/>
      <c r="D62" s="23" t="s">
        <v>59</v>
      </c>
      <c r="E62" s="23">
        <v>21.53</v>
      </c>
      <c r="F62" s="23">
        <v>25.9</v>
      </c>
      <c r="G62" s="23">
        <v>20.84</v>
      </c>
      <c r="H62" s="23">
        <v>17.23</v>
      </c>
      <c r="I62" s="23">
        <v>11.76</v>
      </c>
      <c r="J62" s="24">
        <v>2.2000000000000002</v>
      </c>
      <c r="K62" s="24">
        <v>0.51</v>
      </c>
      <c r="L62" s="24">
        <v>0.02</v>
      </c>
      <c r="M62" s="45">
        <v>100</v>
      </c>
      <c r="N62" s="25"/>
      <c r="O62" s="27"/>
    </row>
    <row r="63" spans="1:20" ht="17.25">
      <c r="A63" s="36" t="s">
        <v>34</v>
      </c>
      <c r="B63" s="57" t="s">
        <v>41</v>
      </c>
      <c r="C63" s="36"/>
      <c r="D63" s="23">
        <v>0.02</v>
      </c>
      <c r="E63" s="23">
        <v>31.540000000000003</v>
      </c>
      <c r="F63" s="23">
        <v>26.1</v>
      </c>
      <c r="G63" s="23">
        <v>14.12</v>
      </c>
      <c r="H63" s="23">
        <v>11.52</v>
      </c>
      <c r="I63" s="23">
        <v>11.59</v>
      </c>
      <c r="J63" s="24">
        <v>3.96</v>
      </c>
      <c r="K63" s="24">
        <v>1.1200000000000001</v>
      </c>
      <c r="L63" s="24">
        <v>0.04</v>
      </c>
      <c r="M63" s="45">
        <v>100</v>
      </c>
      <c r="N63" s="25"/>
      <c r="O63" s="27"/>
    </row>
    <row r="64" spans="1:20" ht="17.25">
      <c r="A64" s="37" t="s">
        <v>66</v>
      </c>
      <c r="B64" s="58" t="s">
        <v>41</v>
      </c>
      <c r="C64" s="36"/>
      <c r="D64" s="29">
        <v>0.05</v>
      </c>
      <c r="E64" s="29">
        <v>58.38</v>
      </c>
      <c r="F64" s="29">
        <v>17.309999999999999</v>
      </c>
      <c r="G64" s="29">
        <v>9.77</v>
      </c>
      <c r="H64" s="29">
        <v>7.16</v>
      </c>
      <c r="I64" s="29">
        <v>5.57</v>
      </c>
      <c r="J64" s="30">
        <v>1.3</v>
      </c>
      <c r="K64" s="30">
        <v>0.4</v>
      </c>
      <c r="L64" s="30">
        <v>0.06</v>
      </c>
      <c r="M64" s="46">
        <v>100</v>
      </c>
      <c r="N64" s="25"/>
      <c r="O64" s="27"/>
    </row>
    <row r="65" spans="1:15" ht="17.25">
      <c r="A65" s="59" t="s">
        <v>35</v>
      </c>
      <c r="B65" s="58" t="s">
        <v>41</v>
      </c>
      <c r="C65" s="37"/>
      <c r="D65" s="23">
        <v>81.83</v>
      </c>
      <c r="E65" s="23">
        <v>14.1</v>
      </c>
      <c r="F65" s="23">
        <v>2.38</v>
      </c>
      <c r="G65" s="23">
        <v>0.85</v>
      </c>
      <c r="H65" s="23">
        <v>0.51</v>
      </c>
      <c r="I65" s="23" t="s">
        <v>59</v>
      </c>
      <c r="J65" s="24">
        <v>0.17</v>
      </c>
      <c r="K65" s="24">
        <v>0.17</v>
      </c>
      <c r="L65" s="23" t="s">
        <v>59</v>
      </c>
      <c r="M65" s="45">
        <v>100</v>
      </c>
      <c r="N65" s="27"/>
      <c r="O65" s="27"/>
    </row>
    <row r="66" spans="1:15" ht="17.25">
      <c r="A66" s="32" t="s">
        <v>69</v>
      </c>
      <c r="B66" s="32"/>
      <c r="C66" s="32"/>
      <c r="D66" s="17"/>
      <c r="E66" s="17"/>
      <c r="F66" s="17"/>
      <c r="G66" s="17"/>
      <c r="H66" s="17"/>
      <c r="I66" s="17"/>
      <c r="J66" s="17"/>
      <c r="K66" s="17"/>
      <c r="L66" s="17"/>
      <c r="M66" s="34"/>
    </row>
    <row r="67" spans="1:15" ht="17.25">
      <c r="A67" s="60" t="s">
        <v>67</v>
      </c>
      <c r="B67" s="32"/>
      <c r="C67" s="32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5" s="17" customFormat="1">
      <c r="A68" s="33" t="s">
        <v>0</v>
      </c>
      <c r="B68" s="33"/>
      <c r="C68" s="33"/>
    </row>
  </sheetData>
  <pageMargins left="1.5748031496062993" right="1.6535433070866143" top="0.59055118110236227" bottom="2.2834645669291338" header="0.51181102362204722" footer="0.51181102362204722"/>
  <pageSetup paperSize="9" scale="97" orientation="portrait" r:id="rId1"/>
  <headerFooter alignWithMargins="0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8"/>
  <sheetViews>
    <sheetView zoomScaleNormal="100" workbookViewId="0"/>
  </sheetViews>
  <sheetFormatPr baseColWidth="10" defaultColWidth="9.140625" defaultRowHeight="16.5"/>
  <cols>
    <col min="1" max="1" width="16.85546875" style="4" customWidth="1"/>
    <col min="2" max="2" width="12.140625" style="4" customWidth="1"/>
    <col min="3" max="3" width="8.7109375" style="4" customWidth="1"/>
    <col min="4" max="4" width="21.140625" style="18" customWidth="1"/>
    <col min="5" max="13" width="21.140625" style="4" customWidth="1"/>
    <col min="14" max="16384" width="9.140625" style="4"/>
  </cols>
  <sheetData>
    <row r="1" spans="1:16" ht="17.25">
      <c r="A1" s="35" t="s">
        <v>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ht="17.25">
      <c r="A2" s="20" t="s">
        <v>55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16"/>
    </row>
    <row r="3" spans="1:16">
      <c r="A3" s="20" t="s">
        <v>4</v>
      </c>
      <c r="B3" s="20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6">
      <c r="A4" s="20" t="s">
        <v>53</v>
      </c>
      <c r="B4" s="20"/>
      <c r="C4" s="20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6" ht="39.75" customHeight="1">
      <c r="A5" s="44" t="s">
        <v>5</v>
      </c>
      <c r="B5" s="47" t="s">
        <v>39</v>
      </c>
      <c r="C5" s="47" t="s">
        <v>40</v>
      </c>
      <c r="D5" s="54" t="s">
        <v>36</v>
      </c>
      <c r="E5" s="55" t="s">
        <v>44</v>
      </c>
      <c r="F5" s="55" t="s">
        <v>49</v>
      </c>
      <c r="G5" s="55" t="s">
        <v>50</v>
      </c>
      <c r="H5" s="55" t="s">
        <v>51</v>
      </c>
      <c r="I5" s="55" t="s">
        <v>48</v>
      </c>
      <c r="J5" s="55" t="s">
        <v>47</v>
      </c>
      <c r="K5" s="55" t="s">
        <v>46</v>
      </c>
      <c r="L5" s="55" t="s">
        <v>45</v>
      </c>
      <c r="M5" s="56" t="s">
        <v>37</v>
      </c>
    </row>
    <row r="6" spans="1:16" ht="17.25">
      <c r="A6" s="36" t="s">
        <v>8</v>
      </c>
      <c r="B6" s="38" t="s">
        <v>43</v>
      </c>
      <c r="C6" s="36"/>
      <c r="D6" s="5">
        <v>6.0000000000000001E-3</v>
      </c>
      <c r="E6" s="6">
        <v>5.4059999999999997</v>
      </c>
      <c r="F6" s="6">
        <v>6.1980000000000004</v>
      </c>
      <c r="G6" s="6">
        <v>6.0419999999999998</v>
      </c>
      <c r="H6" s="6">
        <v>7.97</v>
      </c>
      <c r="I6" s="6">
        <v>6.8689999999999998</v>
      </c>
      <c r="J6" s="7">
        <v>1.1359999999999999</v>
      </c>
      <c r="K6" s="7">
        <v>0.105</v>
      </c>
      <c r="L6" s="8">
        <v>1E-3</v>
      </c>
      <c r="M6" s="6">
        <v>33.732999999999997</v>
      </c>
      <c r="N6" s="9"/>
      <c r="P6" s="6"/>
    </row>
    <row r="7" spans="1:16" ht="17.25">
      <c r="A7" s="36" t="s">
        <v>9</v>
      </c>
      <c r="B7" s="38" t="s">
        <v>43</v>
      </c>
      <c r="C7" s="36"/>
      <c r="D7" s="5">
        <v>8.0000000000000002E-3</v>
      </c>
      <c r="E7" s="6">
        <v>26.885999999999999</v>
      </c>
      <c r="F7" s="6">
        <v>13.063000000000001</v>
      </c>
      <c r="G7" s="6">
        <v>10.077</v>
      </c>
      <c r="H7" s="6">
        <v>6.2039999999999997</v>
      </c>
      <c r="I7" s="6">
        <v>3.577</v>
      </c>
      <c r="J7" s="7">
        <v>1.5589999999999999</v>
      </c>
      <c r="K7" s="7">
        <v>1.3680000000000001</v>
      </c>
      <c r="L7" s="8">
        <v>0.214</v>
      </c>
      <c r="M7" s="6">
        <v>62.955999999999996</v>
      </c>
      <c r="N7" s="9"/>
    </row>
    <row r="8" spans="1:16" ht="17.25">
      <c r="A8" s="36" t="s">
        <v>10</v>
      </c>
      <c r="B8" s="38" t="s">
        <v>43</v>
      </c>
      <c r="C8" s="36"/>
      <c r="D8" s="10" t="s">
        <v>59</v>
      </c>
      <c r="E8" s="6">
        <v>11</v>
      </c>
      <c r="F8" s="6">
        <v>6.1059999999999999</v>
      </c>
      <c r="G8" s="6">
        <v>3.9510000000000001</v>
      </c>
      <c r="H8" s="6">
        <v>3.3220000000000001</v>
      </c>
      <c r="I8" s="6">
        <v>2.794</v>
      </c>
      <c r="J8" s="7">
        <v>1.089</v>
      </c>
      <c r="K8" s="7">
        <v>1.3109999999999999</v>
      </c>
      <c r="L8" s="8">
        <v>0.66400000000000003</v>
      </c>
      <c r="M8" s="6">
        <v>30.237000000000002</v>
      </c>
      <c r="N8" s="9"/>
    </row>
    <row r="9" spans="1:16" ht="17.25">
      <c r="A9" s="36" t="s">
        <v>11</v>
      </c>
      <c r="B9" s="38" t="s">
        <v>43</v>
      </c>
      <c r="C9" s="36"/>
      <c r="D9" s="5">
        <v>0.02</v>
      </c>
      <c r="E9" s="6">
        <v>10.555999999999999</v>
      </c>
      <c r="F9" s="6">
        <v>7.78</v>
      </c>
      <c r="G9" s="6">
        <v>4.7859999999999996</v>
      </c>
      <c r="H9" s="6">
        <v>4.2249999999999996</v>
      </c>
      <c r="I9" s="6">
        <v>5.1719999999999997</v>
      </c>
      <c r="J9" s="7">
        <v>3.141</v>
      </c>
      <c r="K9" s="7">
        <v>1.659</v>
      </c>
      <c r="L9" s="8">
        <v>9.5000000000000001E-2</v>
      </c>
      <c r="M9" s="6">
        <v>37.43399999999999</v>
      </c>
      <c r="N9" s="9"/>
    </row>
    <row r="10" spans="1:16" ht="17.25">
      <c r="A10" s="37" t="s">
        <v>12</v>
      </c>
      <c r="B10" s="38" t="s">
        <v>43</v>
      </c>
      <c r="C10" s="37"/>
      <c r="D10" s="11">
        <v>0.217</v>
      </c>
      <c r="E10" s="12">
        <v>78.608000000000004</v>
      </c>
      <c r="F10" s="12">
        <v>61.688000000000002</v>
      </c>
      <c r="G10" s="12">
        <v>50.847999999999999</v>
      </c>
      <c r="H10" s="12">
        <v>55.308999999999997</v>
      </c>
      <c r="I10" s="12">
        <v>47.250999999999998</v>
      </c>
      <c r="J10" s="13">
        <v>9.5340000000000007</v>
      </c>
      <c r="K10" s="13">
        <v>4.2069999999999999</v>
      </c>
      <c r="L10" s="14">
        <v>1.1719999999999999</v>
      </c>
      <c r="M10" s="39">
        <v>308.834</v>
      </c>
      <c r="N10" s="9"/>
    </row>
    <row r="11" spans="1:16" ht="17.25">
      <c r="A11" s="36" t="s">
        <v>13</v>
      </c>
      <c r="B11" s="38" t="s">
        <v>43</v>
      </c>
      <c r="C11" s="36"/>
      <c r="D11" s="19" t="s">
        <v>59</v>
      </c>
      <c r="E11" s="15">
        <v>8.1890000000000001</v>
      </c>
      <c r="F11" s="15">
        <v>2.3340000000000001</v>
      </c>
      <c r="G11" s="15">
        <v>1.236</v>
      </c>
      <c r="H11" s="15">
        <v>0.93600000000000005</v>
      </c>
      <c r="I11" s="15">
        <v>0.89400000000000002</v>
      </c>
      <c r="J11" s="7">
        <v>0.376</v>
      </c>
      <c r="K11" s="7">
        <v>0.23699999999999999</v>
      </c>
      <c r="L11" s="8">
        <v>3.5000000000000003E-2</v>
      </c>
      <c r="M11" s="6">
        <v>14.237</v>
      </c>
      <c r="N11" s="9"/>
    </row>
    <row r="12" spans="1:16" ht="17.25">
      <c r="A12" s="36" t="s">
        <v>14</v>
      </c>
      <c r="B12" s="38" t="s">
        <v>43</v>
      </c>
      <c r="C12" s="36"/>
      <c r="D12" s="7">
        <v>6.0000000000000001E-3</v>
      </c>
      <c r="E12" s="15">
        <v>15.677</v>
      </c>
      <c r="F12" s="15">
        <v>33.341000000000001</v>
      </c>
      <c r="G12" s="15">
        <v>34.231000000000002</v>
      </c>
      <c r="H12" s="15">
        <v>25.443999999999999</v>
      </c>
      <c r="I12" s="15">
        <v>12.315</v>
      </c>
      <c r="J12" s="7">
        <v>1.389</v>
      </c>
      <c r="K12" s="7">
        <v>0.17399999999999999</v>
      </c>
      <c r="L12" s="48" t="s">
        <v>59</v>
      </c>
      <c r="M12" s="6">
        <v>122.577</v>
      </c>
      <c r="N12" s="9"/>
    </row>
    <row r="13" spans="1:16" ht="17.25">
      <c r="A13" s="36" t="s">
        <v>15</v>
      </c>
      <c r="B13" s="38" t="s">
        <v>43</v>
      </c>
      <c r="C13" s="36"/>
      <c r="D13" s="7" t="s">
        <v>59</v>
      </c>
      <c r="E13" s="15">
        <v>278.971</v>
      </c>
      <c r="F13" s="15">
        <v>133.614</v>
      </c>
      <c r="G13" s="15">
        <v>63.625</v>
      </c>
      <c r="H13" s="15">
        <v>32.106999999999999</v>
      </c>
      <c r="I13" s="15">
        <v>10.353999999999999</v>
      </c>
      <c r="J13" s="7">
        <v>0.79600000000000004</v>
      </c>
      <c r="K13" s="7">
        <v>0.09</v>
      </c>
      <c r="L13" s="48" t="s">
        <v>59</v>
      </c>
      <c r="M13" s="6">
        <v>519.55800000000011</v>
      </c>
      <c r="N13" s="9"/>
    </row>
    <row r="14" spans="1:16" ht="17.25">
      <c r="A14" s="36" t="s">
        <v>16</v>
      </c>
      <c r="B14" s="38" t="s">
        <v>43</v>
      </c>
      <c r="C14" s="36"/>
      <c r="D14" s="7">
        <v>0.28499999999999998</v>
      </c>
      <c r="E14" s="15">
        <v>310.21300000000002</v>
      </c>
      <c r="F14" s="15">
        <v>134.97499999999999</v>
      </c>
      <c r="G14" s="15">
        <v>79.015000000000001</v>
      </c>
      <c r="H14" s="15">
        <v>64.335999999999999</v>
      </c>
      <c r="I14" s="15">
        <v>50.804000000000002</v>
      </c>
      <c r="J14" s="7">
        <v>11.041</v>
      </c>
      <c r="K14" s="7">
        <v>3.3210000000000002</v>
      </c>
      <c r="L14" s="8">
        <v>0.309</v>
      </c>
      <c r="M14" s="6">
        <v>654.29900000000009</v>
      </c>
      <c r="N14" s="9"/>
    </row>
    <row r="15" spans="1:16" ht="17.25">
      <c r="A15" s="36" t="s">
        <v>17</v>
      </c>
      <c r="B15" s="38" t="s">
        <v>43</v>
      </c>
      <c r="C15" s="36"/>
      <c r="D15" s="7">
        <v>0.874</v>
      </c>
      <c r="E15" s="15">
        <v>52.347000000000001</v>
      </c>
      <c r="F15" s="15">
        <v>32.472999999999999</v>
      </c>
      <c r="G15" s="15">
        <v>33.396999999999998</v>
      </c>
      <c r="H15" s="15">
        <v>63.994999999999997</v>
      </c>
      <c r="I15" s="15">
        <v>108.875</v>
      </c>
      <c r="J15" s="7">
        <v>25.974</v>
      </c>
      <c r="K15" s="7">
        <v>2.6120000000000001</v>
      </c>
      <c r="L15" s="8">
        <v>0.114</v>
      </c>
      <c r="M15" s="6">
        <v>320.661</v>
      </c>
      <c r="N15" s="9"/>
    </row>
    <row r="16" spans="1:16" ht="17.25">
      <c r="A16" s="36" t="s">
        <v>18</v>
      </c>
      <c r="B16" s="38" t="s">
        <v>43</v>
      </c>
      <c r="C16" s="36"/>
      <c r="D16" s="7">
        <v>1.0999999999999999E-2</v>
      </c>
      <c r="E16" s="15">
        <v>79.597999999999999</v>
      </c>
      <c r="F16" s="15">
        <v>15.238</v>
      </c>
      <c r="G16" s="15">
        <v>6.0359999999999996</v>
      </c>
      <c r="H16" s="15">
        <v>3.7450000000000001</v>
      </c>
      <c r="I16" s="15">
        <v>1.64</v>
      </c>
      <c r="J16" s="7">
        <v>0.23699999999999999</v>
      </c>
      <c r="K16" s="7">
        <v>0.107</v>
      </c>
      <c r="L16" s="8">
        <v>3.2000000000000001E-2</v>
      </c>
      <c r="M16" s="6">
        <v>106.64399999999999</v>
      </c>
      <c r="N16" s="9"/>
    </row>
    <row r="17" spans="1:14" ht="17.25">
      <c r="A17" s="36" t="s">
        <v>19</v>
      </c>
      <c r="B17" s="38" t="s">
        <v>43</v>
      </c>
      <c r="C17" s="36"/>
      <c r="D17" s="7">
        <v>1.4359999999999999</v>
      </c>
      <c r="E17" s="15">
        <v>494.40899999999999</v>
      </c>
      <c r="F17" s="15">
        <v>137.93799999999999</v>
      </c>
      <c r="G17" s="15">
        <v>67.084000000000003</v>
      </c>
      <c r="H17" s="15">
        <v>40.789000000000001</v>
      </c>
      <c r="I17" s="15">
        <v>24.349</v>
      </c>
      <c r="J17" s="7">
        <v>6.3070000000000004</v>
      </c>
      <c r="K17" s="7">
        <v>2.1030000000000002</v>
      </c>
      <c r="L17" s="8">
        <v>0.16800000000000001</v>
      </c>
      <c r="M17" s="6">
        <v>774.58299999999997</v>
      </c>
      <c r="N17" s="9"/>
    </row>
    <row r="18" spans="1:14" ht="17.25">
      <c r="A18" s="36" t="s">
        <v>20</v>
      </c>
      <c r="B18" s="38" t="s">
        <v>43</v>
      </c>
      <c r="C18" s="36"/>
      <c r="D18" s="7" t="s">
        <v>59</v>
      </c>
      <c r="E18" s="15">
        <v>27.702000000000002</v>
      </c>
      <c r="F18" s="15">
        <v>2.6760000000000002</v>
      </c>
      <c r="G18" s="15">
        <v>0.89700000000000002</v>
      </c>
      <c r="H18" s="15">
        <v>0.52500000000000002</v>
      </c>
      <c r="I18" s="15">
        <v>0.26800000000000002</v>
      </c>
      <c r="J18" s="7">
        <v>5.1999999999999998E-2</v>
      </c>
      <c r="K18" s="7">
        <v>8.0000000000000002E-3</v>
      </c>
      <c r="L18" s="48" t="s">
        <v>59</v>
      </c>
      <c r="M18" s="6">
        <v>32.128</v>
      </c>
      <c r="N18" s="9"/>
    </row>
    <row r="19" spans="1:14" ht="17.25">
      <c r="A19" s="36" t="s">
        <v>21</v>
      </c>
      <c r="B19" s="38" t="s">
        <v>43</v>
      </c>
      <c r="C19" s="36"/>
      <c r="D19" s="19" t="s">
        <v>59</v>
      </c>
      <c r="E19" s="15">
        <v>40.360999999999997</v>
      </c>
      <c r="F19" s="15">
        <v>7.883</v>
      </c>
      <c r="G19" s="15">
        <v>3.5680000000000001</v>
      </c>
      <c r="H19" s="15">
        <v>2.34</v>
      </c>
      <c r="I19" s="15">
        <v>1.7649999999999999</v>
      </c>
      <c r="J19" s="7">
        <v>0.622</v>
      </c>
      <c r="K19" s="7">
        <v>0.29099999999999998</v>
      </c>
      <c r="L19" s="8">
        <v>4.5999999999999999E-2</v>
      </c>
      <c r="M19" s="6">
        <v>56.875999999999998</v>
      </c>
      <c r="N19" s="9"/>
    </row>
    <row r="20" spans="1:14" ht="17.25">
      <c r="A20" s="36" t="s">
        <v>22</v>
      </c>
      <c r="B20" s="38" t="s">
        <v>43</v>
      </c>
      <c r="C20" s="36"/>
      <c r="D20" s="7">
        <v>3.5000000000000003E-2</v>
      </c>
      <c r="E20" s="15">
        <v>84.215000000000003</v>
      </c>
      <c r="F20" s="15">
        <v>19.928000000000001</v>
      </c>
      <c r="G20" s="15">
        <v>8.798</v>
      </c>
      <c r="H20" s="15">
        <v>6.048</v>
      </c>
      <c r="I20" s="15">
        <v>3.3959999999999999</v>
      </c>
      <c r="J20" s="7">
        <v>0.68200000000000005</v>
      </c>
      <c r="K20" s="7">
        <v>0.247</v>
      </c>
      <c r="L20" s="8">
        <v>4.4999999999999998E-2</v>
      </c>
      <c r="M20" s="6">
        <v>123.39400000000001</v>
      </c>
      <c r="N20" s="9"/>
    </row>
    <row r="21" spans="1:14" ht="17.25">
      <c r="A21" s="36" t="s">
        <v>23</v>
      </c>
      <c r="B21" s="38" t="s">
        <v>43</v>
      </c>
      <c r="C21" s="36"/>
      <c r="D21" s="19" t="s">
        <v>59</v>
      </c>
      <c r="E21" s="15">
        <v>0.25900000000000001</v>
      </c>
      <c r="F21" s="15">
        <v>0.19700000000000001</v>
      </c>
      <c r="G21" s="15">
        <v>0.19800000000000001</v>
      </c>
      <c r="H21" s="15">
        <v>0.33800000000000002</v>
      </c>
      <c r="I21" s="15">
        <v>0.622</v>
      </c>
      <c r="J21" s="7">
        <v>8.7999999999999995E-2</v>
      </c>
      <c r="K21" s="7">
        <v>8.9999999999999993E-3</v>
      </c>
      <c r="L21" s="19" t="s">
        <v>59</v>
      </c>
      <c r="M21" s="6">
        <v>1.7109999999999999</v>
      </c>
      <c r="N21" s="9"/>
    </row>
    <row r="22" spans="1:14" ht="17.25">
      <c r="A22" s="36" t="s">
        <v>24</v>
      </c>
      <c r="B22" s="38" t="s">
        <v>43</v>
      </c>
      <c r="C22" s="36"/>
      <c r="D22" s="7">
        <v>7.1999999999999995E-2</v>
      </c>
      <c r="E22" s="15">
        <v>97.742000000000004</v>
      </c>
      <c r="F22" s="15">
        <v>33.052999999999997</v>
      </c>
      <c r="G22" s="15">
        <v>15.007</v>
      </c>
      <c r="H22" s="15">
        <v>9.8989999999999991</v>
      </c>
      <c r="I22" s="15">
        <v>8.0280000000000005</v>
      </c>
      <c r="J22" s="7">
        <v>2.7829999999999999</v>
      </c>
      <c r="K22" s="7">
        <v>1.4850000000000001</v>
      </c>
      <c r="L22" s="8">
        <v>0.314</v>
      </c>
      <c r="M22" s="6">
        <v>168.38300000000001</v>
      </c>
      <c r="N22" s="9"/>
    </row>
    <row r="23" spans="1:14" ht="17.25">
      <c r="A23" s="36" t="s">
        <v>25</v>
      </c>
      <c r="B23" s="38" t="s">
        <v>43</v>
      </c>
      <c r="C23" s="36"/>
      <c r="D23" s="19" t="s">
        <v>59</v>
      </c>
      <c r="E23" s="15">
        <v>4.6870000000000003</v>
      </c>
      <c r="F23" s="15">
        <v>0.13300000000000001</v>
      </c>
      <c r="G23" s="15">
        <v>6.3E-2</v>
      </c>
      <c r="H23" s="15">
        <v>4.2000000000000003E-2</v>
      </c>
      <c r="I23" s="15">
        <v>4.8000000000000001E-2</v>
      </c>
      <c r="J23" s="7">
        <v>5.0000000000000001E-3</v>
      </c>
      <c r="K23" s="7">
        <v>0</v>
      </c>
      <c r="L23" s="19" t="s">
        <v>59</v>
      </c>
      <c r="M23" s="6">
        <v>4.9779999999999998</v>
      </c>
      <c r="N23" s="9"/>
    </row>
    <row r="24" spans="1:14" ht="17.25">
      <c r="A24" s="36" t="s">
        <v>26</v>
      </c>
      <c r="B24" s="38" t="s">
        <v>43</v>
      </c>
      <c r="C24" s="36"/>
      <c r="D24" s="19">
        <v>1E-3</v>
      </c>
      <c r="E24" s="15">
        <v>4.3319999999999999</v>
      </c>
      <c r="F24" s="15">
        <v>8.2140000000000004</v>
      </c>
      <c r="G24" s="15">
        <v>8.3490000000000002</v>
      </c>
      <c r="H24" s="15">
        <v>11.845000000000001</v>
      </c>
      <c r="I24" s="15">
        <v>9.9580000000000002</v>
      </c>
      <c r="J24" s="7">
        <v>1.2170000000000001</v>
      </c>
      <c r="K24" s="7">
        <v>0.17899999999999999</v>
      </c>
      <c r="L24" s="8">
        <v>7.0000000000000001E-3</v>
      </c>
      <c r="M24" s="6">
        <v>44.101999999999997</v>
      </c>
      <c r="N24" s="9"/>
    </row>
    <row r="25" spans="1:14" ht="17.25">
      <c r="A25" s="36" t="s">
        <v>27</v>
      </c>
      <c r="B25" s="38" t="s">
        <v>43</v>
      </c>
      <c r="C25" s="36"/>
      <c r="D25" s="7">
        <v>6.0000000000000001E-3</v>
      </c>
      <c r="E25" s="15">
        <v>28.146999999999998</v>
      </c>
      <c r="F25" s="15">
        <v>30.989000000000001</v>
      </c>
      <c r="G25" s="15">
        <v>25.527000000000001</v>
      </c>
      <c r="H25" s="15">
        <v>16.061</v>
      </c>
      <c r="I25" s="15">
        <v>4.1159999999999997</v>
      </c>
      <c r="J25" s="7">
        <v>0.376</v>
      </c>
      <c r="K25" s="7">
        <v>7.0999999999999994E-2</v>
      </c>
      <c r="L25" s="8">
        <v>7.0000000000000001E-3</v>
      </c>
      <c r="M25" s="6">
        <v>105.3</v>
      </c>
      <c r="N25" s="9"/>
    </row>
    <row r="26" spans="1:14" ht="17.25">
      <c r="A26" s="36" t="s">
        <v>28</v>
      </c>
      <c r="B26" s="38" t="s">
        <v>43</v>
      </c>
      <c r="C26" s="36"/>
      <c r="D26" s="7">
        <v>0.13400000000000001</v>
      </c>
      <c r="E26" s="15">
        <v>902.077</v>
      </c>
      <c r="F26" s="15">
        <v>238.441</v>
      </c>
      <c r="G26" s="15">
        <v>109.928</v>
      </c>
      <c r="H26" s="15">
        <v>42.091000000000001</v>
      </c>
      <c r="I26" s="15">
        <v>11.04</v>
      </c>
      <c r="J26" s="7">
        <v>2.2269999999999999</v>
      </c>
      <c r="K26" s="7">
        <v>0.90200000000000002</v>
      </c>
      <c r="L26" s="8">
        <v>8.1000000000000003E-2</v>
      </c>
      <c r="M26" s="6">
        <v>1306.9209999999998</v>
      </c>
      <c r="N26" s="9"/>
    </row>
    <row r="27" spans="1:14" ht="17.25">
      <c r="A27" s="36" t="s">
        <v>29</v>
      </c>
      <c r="B27" s="38" t="s">
        <v>43</v>
      </c>
      <c r="C27" s="36"/>
      <c r="D27" s="7">
        <v>3.5000000000000003E-2</v>
      </c>
      <c r="E27" s="15">
        <v>128.51499999999999</v>
      </c>
      <c r="F27" s="15">
        <v>19.201000000000001</v>
      </c>
      <c r="G27" s="15">
        <v>9.0879999999999992</v>
      </c>
      <c r="H27" s="15">
        <v>7.0609999999999999</v>
      </c>
      <c r="I27" s="15">
        <v>4.4550000000000001</v>
      </c>
      <c r="J27" s="7">
        <v>1.5980000000000001</v>
      </c>
      <c r="K27" s="7">
        <v>0.68500000000000005</v>
      </c>
      <c r="L27" s="8">
        <v>3.2000000000000001E-2</v>
      </c>
      <c r="M27" s="6">
        <v>170.67000000000002</v>
      </c>
      <c r="N27" s="9"/>
    </row>
    <row r="28" spans="1:14" ht="17.25">
      <c r="A28" s="36" t="s">
        <v>30</v>
      </c>
      <c r="B28" s="38" t="s">
        <v>43</v>
      </c>
      <c r="C28" s="36"/>
      <c r="D28" s="7">
        <v>0.47199999999999998</v>
      </c>
      <c r="E28" s="15">
        <v>692.33500000000004</v>
      </c>
      <c r="F28" s="15">
        <v>52.298999999999999</v>
      </c>
      <c r="G28" s="15">
        <v>26.516999999999999</v>
      </c>
      <c r="H28" s="15">
        <v>14.731999999999999</v>
      </c>
      <c r="I28" s="15">
        <v>9.2210000000000001</v>
      </c>
      <c r="J28" s="7">
        <v>3.0569999999999999</v>
      </c>
      <c r="K28" s="7">
        <v>1.8440000000000001</v>
      </c>
      <c r="L28" s="8">
        <v>0.34599999999999997</v>
      </c>
      <c r="M28" s="6">
        <v>800.82300000000009</v>
      </c>
      <c r="N28" s="9"/>
    </row>
    <row r="29" spans="1:14" ht="17.25">
      <c r="A29" s="36" t="s">
        <v>31</v>
      </c>
      <c r="B29" s="38" t="s">
        <v>43</v>
      </c>
      <c r="C29" s="36"/>
      <c r="D29" s="7" t="s">
        <v>59</v>
      </c>
      <c r="E29" s="15">
        <v>38.517000000000003</v>
      </c>
      <c r="F29" s="15">
        <v>11.635999999999999</v>
      </c>
      <c r="G29" s="15">
        <v>3.66</v>
      </c>
      <c r="H29" s="15">
        <v>1.381</v>
      </c>
      <c r="I29" s="15">
        <v>0.4</v>
      </c>
      <c r="J29" s="7">
        <v>3.5999999999999997E-2</v>
      </c>
      <c r="K29" s="7">
        <v>8.9999999999999993E-3</v>
      </c>
      <c r="L29" s="8">
        <v>8.0000000000000002E-3</v>
      </c>
      <c r="M29" s="6">
        <v>55.647000000000006</v>
      </c>
      <c r="N29" s="9"/>
    </row>
    <row r="30" spans="1:14" ht="17.25">
      <c r="A30" s="36" t="s">
        <v>32</v>
      </c>
      <c r="B30" s="38" t="s">
        <v>43</v>
      </c>
      <c r="C30" s="36"/>
      <c r="D30" s="19" t="s">
        <v>59</v>
      </c>
      <c r="E30" s="15">
        <v>10.132</v>
      </c>
      <c r="F30" s="15">
        <v>3.1179999999999999</v>
      </c>
      <c r="G30" s="15">
        <v>1.4890000000000001</v>
      </c>
      <c r="H30" s="15">
        <v>1.08</v>
      </c>
      <c r="I30" s="15">
        <v>0.94499999999999995</v>
      </c>
      <c r="J30" s="7">
        <v>0.55500000000000005</v>
      </c>
      <c r="K30" s="7">
        <v>0.7</v>
      </c>
      <c r="L30" s="8">
        <v>0.39</v>
      </c>
      <c r="M30" s="6">
        <v>18.408999999999999</v>
      </c>
      <c r="N30" s="9"/>
    </row>
    <row r="31" spans="1:14" ht="17.25">
      <c r="A31" s="36" t="s">
        <v>33</v>
      </c>
      <c r="B31" s="38" t="s">
        <v>43</v>
      </c>
      <c r="C31" s="36"/>
      <c r="D31" s="19">
        <v>2E-3</v>
      </c>
      <c r="E31" s="15">
        <v>10.366</v>
      </c>
      <c r="F31" s="15">
        <v>12.784000000000001</v>
      </c>
      <c r="G31" s="15">
        <v>10.244999999999999</v>
      </c>
      <c r="H31" s="15">
        <v>8.5660000000000007</v>
      </c>
      <c r="I31" s="15">
        <v>5.65</v>
      </c>
      <c r="J31" s="7">
        <v>1.0169999999999999</v>
      </c>
      <c r="K31" s="7">
        <v>0.246</v>
      </c>
      <c r="L31" s="8">
        <v>8.0000000000000002E-3</v>
      </c>
      <c r="M31" s="6">
        <v>48.884000000000007</v>
      </c>
      <c r="N31" s="9"/>
    </row>
    <row r="32" spans="1:14" ht="17.25">
      <c r="A32" s="36" t="s">
        <v>34</v>
      </c>
      <c r="B32" s="38" t="s">
        <v>43</v>
      </c>
      <c r="C32" s="36"/>
      <c r="D32" s="7" t="s">
        <v>59</v>
      </c>
      <c r="E32" s="15">
        <v>18.021000000000001</v>
      </c>
      <c r="F32" s="15">
        <v>14.18</v>
      </c>
      <c r="G32" s="15">
        <v>7.867</v>
      </c>
      <c r="H32" s="15">
        <v>6.6609999999999996</v>
      </c>
      <c r="I32" s="15">
        <v>6.6449999999999996</v>
      </c>
      <c r="J32" s="7">
        <v>2.2879999999999998</v>
      </c>
      <c r="K32" s="7">
        <v>0.65700000000000003</v>
      </c>
      <c r="L32" s="8">
        <v>1.9E-2</v>
      </c>
      <c r="M32" s="6">
        <v>56.337999999999987</v>
      </c>
      <c r="N32" s="9"/>
    </row>
    <row r="33" spans="1:17" ht="17.25">
      <c r="A33" s="36" t="s">
        <v>35</v>
      </c>
      <c r="B33" s="38" t="s">
        <v>43</v>
      </c>
      <c r="C33" s="36"/>
      <c r="D33" s="7">
        <v>3.5999999999999997E-2</v>
      </c>
      <c r="E33" s="15">
        <v>14.055999999999999</v>
      </c>
      <c r="F33" s="15">
        <v>28.184999999999999</v>
      </c>
      <c r="G33" s="15">
        <v>25.154</v>
      </c>
      <c r="H33" s="15">
        <v>28.968</v>
      </c>
      <c r="I33" s="15">
        <v>30.315000000000001</v>
      </c>
      <c r="J33" s="7">
        <v>10.542</v>
      </c>
      <c r="K33" s="7">
        <v>4.1349999999999998</v>
      </c>
      <c r="L33" s="8">
        <v>0.32900000000000001</v>
      </c>
      <c r="M33" s="6">
        <v>141.72</v>
      </c>
      <c r="N33" s="9"/>
    </row>
    <row r="34" spans="1:17" ht="17.25">
      <c r="A34" s="40" t="s">
        <v>6</v>
      </c>
      <c r="B34" s="38" t="s">
        <v>43</v>
      </c>
      <c r="C34" s="40"/>
      <c r="D34" s="13">
        <v>3.657</v>
      </c>
      <c r="E34" s="12">
        <v>3557.1950000000002</v>
      </c>
      <c r="F34" s="12">
        <v>1067.665</v>
      </c>
      <c r="G34" s="12">
        <v>616.68299999999999</v>
      </c>
      <c r="H34" s="12">
        <v>466.02</v>
      </c>
      <c r="I34" s="12">
        <v>371.76600000000002</v>
      </c>
      <c r="J34" s="13">
        <v>89.724000000000004</v>
      </c>
      <c r="K34" s="13">
        <v>28.527000000000001</v>
      </c>
      <c r="L34" s="13">
        <v>4.4359999999999999</v>
      </c>
      <c r="M34" s="39">
        <v>6205.6729999999989</v>
      </c>
      <c r="N34" s="9"/>
    </row>
    <row r="35" spans="1:17" ht="17.25">
      <c r="A35" s="20" t="s">
        <v>52</v>
      </c>
      <c r="B35" s="20"/>
      <c r="C35" s="20"/>
      <c r="D35" s="20"/>
      <c r="E35" s="20"/>
      <c r="F35" s="20"/>
      <c r="G35" s="20"/>
      <c r="H35" s="20"/>
      <c r="I35" s="20"/>
      <c r="J35" s="20"/>
      <c r="K35" s="21"/>
      <c r="L35" s="20"/>
      <c r="M35" s="20"/>
      <c r="O35" s="16"/>
    </row>
    <row r="36" spans="1:17" s="53" customFormat="1" ht="39.75" customHeight="1">
      <c r="A36" s="44" t="s">
        <v>5</v>
      </c>
      <c r="B36" s="49" t="s">
        <v>39</v>
      </c>
      <c r="C36" s="49" t="s">
        <v>40</v>
      </c>
      <c r="D36" s="54" t="s">
        <v>36</v>
      </c>
      <c r="E36" s="55" t="s">
        <v>44</v>
      </c>
      <c r="F36" s="55" t="s">
        <v>49</v>
      </c>
      <c r="G36" s="55" t="s">
        <v>50</v>
      </c>
      <c r="H36" s="55" t="s">
        <v>51</v>
      </c>
      <c r="I36" s="55" t="s">
        <v>48</v>
      </c>
      <c r="J36" s="55" t="s">
        <v>47</v>
      </c>
      <c r="K36" s="55" t="s">
        <v>46</v>
      </c>
      <c r="L36" s="55" t="s">
        <v>45</v>
      </c>
      <c r="M36" s="56" t="s">
        <v>37</v>
      </c>
    </row>
    <row r="37" spans="1:17" ht="17.25">
      <c r="A37" s="36" t="s">
        <v>8</v>
      </c>
      <c r="B37" s="38" t="s">
        <v>41</v>
      </c>
      <c r="C37" s="36"/>
      <c r="D37" s="23">
        <v>0.02</v>
      </c>
      <c r="E37" s="23">
        <v>16.02</v>
      </c>
      <c r="F37" s="23">
        <v>18.37</v>
      </c>
      <c r="G37" s="23">
        <v>17.91</v>
      </c>
      <c r="H37" s="23">
        <v>23.63</v>
      </c>
      <c r="I37" s="23">
        <v>20.36</v>
      </c>
      <c r="J37" s="24">
        <v>3.37</v>
      </c>
      <c r="K37" s="24">
        <v>0.31</v>
      </c>
      <c r="L37" s="24" t="s">
        <v>59</v>
      </c>
      <c r="M37" s="45">
        <f>SUM(Tabelle246[[#This Row],[Direktbeihilfen von weniger als 0 € je Betrieb]:[Direktbeihilfen von 300 000 € und mehr je Betrieb]])</f>
        <v>99.99</v>
      </c>
      <c r="N37" s="25"/>
      <c r="O37" s="26"/>
      <c r="P37" s="6"/>
      <c r="Q37" s="27"/>
    </row>
    <row r="38" spans="1:17" ht="17.25">
      <c r="A38" s="36" t="s">
        <v>9</v>
      </c>
      <c r="B38" s="38" t="s">
        <v>41</v>
      </c>
      <c r="C38" s="36"/>
      <c r="D38" s="23">
        <v>0.01</v>
      </c>
      <c r="E38" s="23">
        <v>42.71</v>
      </c>
      <c r="F38" s="23">
        <v>20.75</v>
      </c>
      <c r="G38" s="23">
        <v>16.010000000000002</v>
      </c>
      <c r="H38" s="23">
        <v>9.85</v>
      </c>
      <c r="I38" s="23">
        <v>5.68</v>
      </c>
      <c r="J38" s="24">
        <v>2.48</v>
      </c>
      <c r="K38" s="24">
        <v>2.16</v>
      </c>
      <c r="L38" s="24">
        <v>0.31</v>
      </c>
      <c r="M38" s="45">
        <f>SUM(Tabelle246[[#This Row],[Direktbeihilfen von weniger als 0 € je Betrieb]:[Direktbeihilfen von 300 000 € und mehr je Betrieb]])</f>
        <v>99.96</v>
      </c>
      <c r="N38" s="25"/>
      <c r="O38" s="27"/>
      <c r="P38" s="28"/>
    </row>
    <row r="39" spans="1:17" ht="17.25">
      <c r="A39" s="36" t="s">
        <v>10</v>
      </c>
      <c r="B39" s="38" t="s">
        <v>41</v>
      </c>
      <c r="C39" s="36"/>
      <c r="D39" s="23" t="s">
        <v>59</v>
      </c>
      <c r="E39" s="23">
        <v>36.380000000000003</v>
      </c>
      <c r="F39" s="23">
        <v>20.190000000000001</v>
      </c>
      <c r="G39" s="23">
        <v>13.07</v>
      </c>
      <c r="H39" s="23">
        <v>10.99</v>
      </c>
      <c r="I39" s="23">
        <v>9.24</v>
      </c>
      <c r="J39" s="24">
        <v>3.6</v>
      </c>
      <c r="K39" s="24">
        <v>4.33</v>
      </c>
      <c r="L39" s="24">
        <v>2.2000000000000002</v>
      </c>
      <c r="M39" s="45">
        <f>SUM(Tabelle246[[#This Row],[Direktbeihilfen von weniger als 0 € je Betrieb]:[Direktbeihilfen von 300 000 € und mehr je Betrieb]])</f>
        <v>100</v>
      </c>
      <c r="N39" s="25"/>
      <c r="O39" s="27"/>
      <c r="P39" s="28"/>
    </row>
    <row r="40" spans="1:17" ht="17.25">
      <c r="A40" s="36" t="s">
        <v>11</v>
      </c>
      <c r="B40" s="38" t="s">
        <v>41</v>
      </c>
      <c r="C40" s="36"/>
      <c r="D40" s="23">
        <v>0.05</v>
      </c>
      <c r="E40" s="23">
        <v>28.2</v>
      </c>
      <c r="F40" s="23">
        <v>20.78</v>
      </c>
      <c r="G40" s="23">
        <v>12.79</v>
      </c>
      <c r="H40" s="23">
        <v>11.29</v>
      </c>
      <c r="I40" s="23">
        <v>13.82</v>
      </c>
      <c r="J40" s="24">
        <v>8.39</v>
      </c>
      <c r="K40" s="24">
        <v>4.43</v>
      </c>
      <c r="L40" s="24">
        <v>0.25</v>
      </c>
      <c r="M40" s="45">
        <f>SUM(Tabelle246[[#This Row],[Direktbeihilfen von weniger als 0 € je Betrieb]:[Direktbeihilfen von 300 000 € und mehr je Betrieb]])</f>
        <v>100</v>
      </c>
      <c r="N40" s="25"/>
      <c r="O40" s="27"/>
    </row>
    <row r="41" spans="1:17" s="31" customFormat="1" ht="17.25">
      <c r="A41" s="37" t="s">
        <v>12</v>
      </c>
      <c r="B41" s="38" t="s">
        <v>41</v>
      </c>
      <c r="C41" s="37"/>
      <c r="D41" s="29">
        <v>7.0000000000000007E-2</v>
      </c>
      <c r="E41" s="29">
        <v>25.45</v>
      </c>
      <c r="F41" s="29">
        <v>19.97</v>
      </c>
      <c r="G41" s="29">
        <v>16.46</v>
      </c>
      <c r="H41" s="29">
        <v>17.91</v>
      </c>
      <c r="I41" s="29">
        <v>15.3</v>
      </c>
      <c r="J41" s="30">
        <v>3.09</v>
      </c>
      <c r="K41" s="30">
        <v>1.37</v>
      </c>
      <c r="L41" s="30">
        <v>0.38</v>
      </c>
      <c r="M41" s="46">
        <f>SUM(Tabelle246[[#This Row],[Direktbeihilfen von weniger als 0 € je Betrieb]:[Direktbeihilfen von 300 000 € und mehr je Betrieb]])</f>
        <v>100</v>
      </c>
      <c r="N41" s="25"/>
      <c r="O41" s="27"/>
    </row>
    <row r="42" spans="1:17" ht="17.25">
      <c r="A42" s="36" t="s">
        <v>13</v>
      </c>
      <c r="B42" s="38" t="s">
        <v>41</v>
      </c>
      <c r="C42" s="36"/>
      <c r="D42" s="23" t="s">
        <v>59</v>
      </c>
      <c r="E42" s="23">
        <v>57.52</v>
      </c>
      <c r="F42" s="23">
        <v>16.39</v>
      </c>
      <c r="G42" s="23">
        <v>8.68</v>
      </c>
      <c r="H42" s="23">
        <v>6.57</v>
      </c>
      <c r="I42" s="23">
        <v>6.28</v>
      </c>
      <c r="J42" s="24">
        <v>2.64</v>
      </c>
      <c r="K42" s="24">
        <v>1.67</v>
      </c>
      <c r="L42" s="24">
        <v>0.25</v>
      </c>
      <c r="M42" s="45">
        <f>SUM(Tabelle246[[#This Row],[Direktbeihilfen von weniger als 0 € je Betrieb]:[Direktbeihilfen von 300 000 € und mehr je Betrieb]])</f>
        <v>100</v>
      </c>
      <c r="N42" s="25"/>
      <c r="O42" s="27"/>
    </row>
    <row r="43" spans="1:17" ht="17.25">
      <c r="A43" s="36" t="s">
        <v>14</v>
      </c>
      <c r="B43" s="38" t="s">
        <v>41</v>
      </c>
      <c r="C43" s="36"/>
      <c r="D43" s="23" t="s">
        <v>59</v>
      </c>
      <c r="E43" s="23">
        <v>12.79</v>
      </c>
      <c r="F43" s="23">
        <v>27.2</v>
      </c>
      <c r="G43" s="23">
        <v>27.93</v>
      </c>
      <c r="H43" s="23">
        <v>20.76</v>
      </c>
      <c r="I43" s="23">
        <v>10.050000000000001</v>
      </c>
      <c r="J43" s="24">
        <v>1.1299999999999999</v>
      </c>
      <c r="K43" s="24">
        <v>0.15</v>
      </c>
      <c r="L43" s="23" t="s">
        <v>59</v>
      </c>
      <c r="M43" s="45">
        <f>SUM(Tabelle246[[#This Row],[Direktbeihilfen von weniger als 0 € je Betrieb]:[Direktbeihilfen von 300 000 € und mehr je Betrieb]])</f>
        <v>100.00999999999999</v>
      </c>
      <c r="N43" s="25"/>
      <c r="O43" s="27"/>
    </row>
    <row r="44" spans="1:17" ht="17.25">
      <c r="A44" s="36" t="s">
        <v>15</v>
      </c>
      <c r="B44" s="38" t="s">
        <v>41</v>
      </c>
      <c r="C44" s="36"/>
      <c r="D44" s="23" t="s">
        <v>59</v>
      </c>
      <c r="E44" s="23">
        <v>60.13</v>
      </c>
      <c r="F44" s="23">
        <v>22.14</v>
      </c>
      <c r="G44" s="23">
        <v>10.54</v>
      </c>
      <c r="H44" s="23">
        <v>5.32</v>
      </c>
      <c r="I44" s="23">
        <v>1.72</v>
      </c>
      <c r="J44" s="24">
        <v>0.13</v>
      </c>
      <c r="K44" s="24">
        <v>0.01</v>
      </c>
      <c r="L44" s="23" t="s">
        <v>59</v>
      </c>
      <c r="M44" s="45">
        <f>SUM(Tabelle246[[#This Row],[Direktbeihilfen von weniger als 0 € je Betrieb]:[Direktbeihilfen von 300 000 € und mehr je Betrieb]])</f>
        <v>99.99</v>
      </c>
      <c r="N44" s="25"/>
      <c r="O44" s="27"/>
    </row>
    <row r="45" spans="1:17" ht="17.25">
      <c r="A45" s="36" t="s">
        <v>16</v>
      </c>
      <c r="B45" s="38" t="s">
        <v>41</v>
      </c>
      <c r="C45" s="36"/>
      <c r="D45" s="23">
        <v>0.04</v>
      </c>
      <c r="E45" s="23">
        <v>47.41</v>
      </c>
      <c r="F45" s="23">
        <v>20.63</v>
      </c>
      <c r="G45" s="23">
        <v>12.08</v>
      </c>
      <c r="H45" s="23">
        <v>9.83</v>
      </c>
      <c r="I45" s="23">
        <v>7.76</v>
      </c>
      <c r="J45" s="24">
        <v>1.69</v>
      </c>
      <c r="K45" s="24">
        <v>0.51</v>
      </c>
      <c r="L45" s="24">
        <v>0.04</v>
      </c>
      <c r="M45" s="45">
        <f>SUM(Tabelle246[[#This Row],[Direktbeihilfen von weniger als 0 € je Betrieb]:[Direktbeihilfen von 300 000 € und mehr je Betrieb]])</f>
        <v>99.990000000000009</v>
      </c>
      <c r="N45" s="25"/>
      <c r="O45" s="27"/>
    </row>
    <row r="46" spans="1:17" ht="17.25">
      <c r="A46" s="36" t="s">
        <v>17</v>
      </c>
      <c r="B46" s="38" t="s">
        <v>41</v>
      </c>
      <c r="C46" s="36"/>
      <c r="D46" s="23">
        <v>0.27</v>
      </c>
      <c r="E46" s="23">
        <v>16.329999999999998</v>
      </c>
      <c r="F46" s="23">
        <v>10.130000000000001</v>
      </c>
      <c r="G46" s="23">
        <v>10.42</v>
      </c>
      <c r="H46" s="23">
        <v>19.97</v>
      </c>
      <c r="I46" s="23">
        <v>33.979999999999997</v>
      </c>
      <c r="J46" s="24">
        <v>8.11</v>
      </c>
      <c r="K46" s="24">
        <v>0.74</v>
      </c>
      <c r="L46" s="24">
        <v>0.03</v>
      </c>
      <c r="M46" s="45">
        <f>SUM(Tabelle246[[#This Row],[Direktbeihilfen von weniger als 0 € je Betrieb]:[Direktbeihilfen von 300 000 € und mehr je Betrieb]])</f>
        <v>99.97999999999999</v>
      </c>
      <c r="N46" s="25"/>
      <c r="O46" s="27"/>
    </row>
    <row r="47" spans="1:17" ht="17.25">
      <c r="A47" s="36" t="s">
        <v>18</v>
      </c>
      <c r="B47" s="38" t="s">
        <v>41</v>
      </c>
      <c r="C47" s="36"/>
      <c r="D47" s="23">
        <v>0.01</v>
      </c>
      <c r="E47" s="23">
        <v>74.64</v>
      </c>
      <c r="F47" s="23">
        <v>14.29</v>
      </c>
      <c r="G47" s="23">
        <v>5.66</v>
      </c>
      <c r="H47" s="23">
        <v>3.51</v>
      </c>
      <c r="I47" s="23">
        <v>1.54</v>
      </c>
      <c r="J47" s="24">
        <v>0.22</v>
      </c>
      <c r="K47" s="24">
        <v>0.1</v>
      </c>
      <c r="L47" s="24">
        <v>0.03</v>
      </c>
      <c r="M47" s="45">
        <f>SUM(Tabelle246[[#This Row],[Direktbeihilfen von weniger als 0 € je Betrieb]:[Direktbeihilfen von 300 000 € und mehr je Betrieb]])</f>
        <v>100</v>
      </c>
      <c r="N47" s="25"/>
      <c r="O47" s="27"/>
    </row>
    <row r="48" spans="1:17" ht="17.25">
      <c r="A48" s="36" t="s">
        <v>19</v>
      </c>
      <c r="B48" s="38" t="s">
        <v>41</v>
      </c>
      <c r="C48" s="36"/>
      <c r="D48" s="23">
        <v>0.19</v>
      </c>
      <c r="E48" s="23">
        <v>63.83</v>
      </c>
      <c r="F48" s="23">
        <v>17.809999999999999</v>
      </c>
      <c r="G48" s="23">
        <v>8.66</v>
      </c>
      <c r="H48" s="23">
        <v>5.27</v>
      </c>
      <c r="I48" s="23">
        <v>3.14</v>
      </c>
      <c r="J48" s="24">
        <v>0.81</v>
      </c>
      <c r="K48" s="24">
        <v>0.27</v>
      </c>
      <c r="L48" s="24">
        <v>0.02</v>
      </c>
      <c r="M48" s="45">
        <f>SUM(Tabelle246[[#This Row],[Direktbeihilfen von weniger als 0 € je Betrieb]:[Direktbeihilfen von 300 000 € und mehr je Betrieb]])</f>
        <v>99.999999999999986</v>
      </c>
      <c r="N48" s="25"/>
      <c r="O48" s="27"/>
    </row>
    <row r="49" spans="1:20" ht="17.25">
      <c r="A49" s="36" t="s">
        <v>20</v>
      </c>
      <c r="B49" s="38" t="s">
        <v>41</v>
      </c>
      <c r="C49" s="36"/>
      <c r="D49" s="23" t="s">
        <v>59</v>
      </c>
      <c r="E49" s="23">
        <v>86.22</v>
      </c>
      <c r="F49" s="23">
        <v>8.33</v>
      </c>
      <c r="G49" s="23">
        <v>2.79</v>
      </c>
      <c r="H49" s="23">
        <v>1.63</v>
      </c>
      <c r="I49" s="23">
        <v>0.83</v>
      </c>
      <c r="J49" s="24">
        <v>0.16</v>
      </c>
      <c r="K49" s="24">
        <v>0.02</v>
      </c>
      <c r="L49" s="23" t="s">
        <v>59</v>
      </c>
      <c r="M49" s="45">
        <f>SUM(Tabelle246[[#This Row],[Direktbeihilfen von weniger als 0 € je Betrieb]:[Direktbeihilfen von 300 000 € und mehr je Betrieb]])</f>
        <v>99.97999999999999</v>
      </c>
      <c r="N49" s="25"/>
      <c r="O49" s="27"/>
    </row>
    <row r="50" spans="1:20" ht="17.25">
      <c r="A50" s="36" t="s">
        <v>21</v>
      </c>
      <c r="B50" s="38" t="s">
        <v>41</v>
      </c>
      <c r="C50" s="36"/>
      <c r="D50" s="23" t="s">
        <v>59</v>
      </c>
      <c r="E50" s="23">
        <v>70.97</v>
      </c>
      <c r="F50" s="23">
        <v>13.86</v>
      </c>
      <c r="G50" s="23">
        <v>6.27</v>
      </c>
      <c r="H50" s="23">
        <v>4.1100000000000003</v>
      </c>
      <c r="I50" s="23">
        <v>3.1</v>
      </c>
      <c r="J50" s="24">
        <v>1.0900000000000001</v>
      </c>
      <c r="K50" s="24">
        <v>0.51</v>
      </c>
      <c r="L50" s="24">
        <v>0.09</v>
      </c>
      <c r="M50" s="45">
        <f>SUM(Tabelle246[[#This Row],[Direktbeihilfen von weniger als 0 € je Betrieb]:[Direktbeihilfen von 300 000 € und mehr je Betrieb]])</f>
        <v>100</v>
      </c>
      <c r="N50" s="25"/>
      <c r="O50" s="27"/>
      <c r="T50" s="27"/>
    </row>
    <row r="51" spans="1:20" ht="17.25">
      <c r="A51" s="36" t="s">
        <v>22</v>
      </c>
      <c r="B51" s="38" t="s">
        <v>41</v>
      </c>
      <c r="C51" s="36"/>
      <c r="D51" s="23">
        <v>0.03</v>
      </c>
      <c r="E51" s="23">
        <v>68.260000000000005</v>
      </c>
      <c r="F51" s="23">
        <v>16.149999999999999</v>
      </c>
      <c r="G51" s="23">
        <v>7.13</v>
      </c>
      <c r="H51" s="23">
        <v>4.9000000000000004</v>
      </c>
      <c r="I51" s="23">
        <v>2.75</v>
      </c>
      <c r="J51" s="24">
        <v>0.55000000000000004</v>
      </c>
      <c r="K51" s="24">
        <v>0.21</v>
      </c>
      <c r="L51" s="24">
        <v>0.04</v>
      </c>
      <c r="M51" s="45">
        <f>SUM(Tabelle246[[#This Row],[Direktbeihilfen von weniger als 0 € je Betrieb]:[Direktbeihilfen von 300 000 € und mehr je Betrieb]])</f>
        <v>100.02</v>
      </c>
      <c r="N51" s="25"/>
      <c r="O51" s="27"/>
    </row>
    <row r="52" spans="1:20" ht="17.25">
      <c r="A52" s="36" t="s">
        <v>23</v>
      </c>
      <c r="B52" s="38" t="s">
        <v>41</v>
      </c>
      <c r="C52" s="36"/>
      <c r="D52" s="23" t="s">
        <v>59</v>
      </c>
      <c r="E52" s="23">
        <v>15.13</v>
      </c>
      <c r="F52" s="23">
        <v>11.51</v>
      </c>
      <c r="G52" s="23">
        <v>11.57</v>
      </c>
      <c r="H52" s="23">
        <v>19.75</v>
      </c>
      <c r="I52" s="23">
        <v>36.35</v>
      </c>
      <c r="J52" s="24">
        <v>5.14</v>
      </c>
      <c r="K52" s="24">
        <v>0.53</v>
      </c>
      <c r="L52" s="23" t="s">
        <v>59</v>
      </c>
      <c r="M52" s="45">
        <f>SUM(Tabelle246[[#This Row],[Direktbeihilfen von weniger als 0 € je Betrieb]:[Direktbeihilfen von 300 000 € und mehr je Betrieb]])</f>
        <v>99.98</v>
      </c>
      <c r="N52" s="25"/>
      <c r="O52" s="27"/>
    </row>
    <row r="53" spans="1:20" ht="17.25">
      <c r="A53" s="36" t="s">
        <v>24</v>
      </c>
      <c r="B53" s="38" t="s">
        <v>41</v>
      </c>
      <c r="C53" s="36"/>
      <c r="D53" s="23">
        <v>0.04</v>
      </c>
      <c r="E53" s="23">
        <v>58.05</v>
      </c>
      <c r="F53" s="23">
        <v>19.63</v>
      </c>
      <c r="G53" s="23">
        <v>8.91</v>
      </c>
      <c r="H53" s="23">
        <v>5.88</v>
      </c>
      <c r="I53" s="23">
        <v>4.7699999999999996</v>
      </c>
      <c r="J53" s="24">
        <v>1.65</v>
      </c>
      <c r="K53" s="24">
        <v>0.88</v>
      </c>
      <c r="L53" s="24">
        <v>0.19</v>
      </c>
      <c r="M53" s="45">
        <f>SUM(Tabelle246[[#This Row],[Direktbeihilfen von weniger als 0 € je Betrieb]:[Direktbeihilfen von 300 000 € und mehr je Betrieb]])</f>
        <v>99.999999999999986</v>
      </c>
      <c r="N53" s="25"/>
      <c r="O53" s="27"/>
      <c r="P53" s="28"/>
    </row>
    <row r="54" spans="1:20" ht="17.25">
      <c r="A54" s="36" t="s">
        <v>25</v>
      </c>
      <c r="B54" s="38" t="s">
        <v>41</v>
      </c>
      <c r="C54" s="36"/>
      <c r="D54" s="23" t="s">
        <v>59</v>
      </c>
      <c r="E54" s="23">
        <v>94.16</v>
      </c>
      <c r="F54" s="23">
        <v>2.67</v>
      </c>
      <c r="G54" s="23">
        <v>1.27</v>
      </c>
      <c r="H54" s="23">
        <v>0.84</v>
      </c>
      <c r="I54" s="23">
        <v>0.96</v>
      </c>
      <c r="J54" s="24">
        <v>0.1</v>
      </c>
      <c r="K54" s="23">
        <v>0</v>
      </c>
      <c r="L54" s="23" t="s">
        <v>59</v>
      </c>
      <c r="M54" s="45">
        <f>SUM(Tabelle246[[#This Row],[Direktbeihilfen von weniger als 0 € je Betrieb]:[Direktbeihilfen von 300 000 € und mehr je Betrieb]])</f>
        <v>99.999999999999986</v>
      </c>
      <c r="N54" s="25"/>
      <c r="O54" s="27"/>
      <c r="P54" s="28"/>
    </row>
    <row r="55" spans="1:20" ht="17.25">
      <c r="A55" s="36" t="s">
        <v>26</v>
      </c>
      <c r="B55" s="38" t="s">
        <v>41</v>
      </c>
      <c r="C55" s="36"/>
      <c r="D55" s="23" t="s">
        <v>59</v>
      </c>
      <c r="E55" s="23">
        <v>9.93</v>
      </c>
      <c r="F55" s="23">
        <v>18.63</v>
      </c>
      <c r="G55" s="23">
        <v>18.93</v>
      </c>
      <c r="H55" s="23">
        <v>26.86</v>
      </c>
      <c r="I55" s="23">
        <v>22.58</v>
      </c>
      <c r="J55" s="24">
        <v>2.76</v>
      </c>
      <c r="K55" s="24">
        <v>0.4</v>
      </c>
      <c r="L55" s="24">
        <v>0.01</v>
      </c>
      <c r="M55" s="45">
        <f>SUM(Tabelle246[[#This Row],[Direktbeihilfen von weniger als 0 € je Betrieb]:[Direktbeihilfen von 300 000 € und mehr je Betrieb]])</f>
        <v>100.10000000000001</v>
      </c>
      <c r="N55" s="25"/>
      <c r="O55" s="27"/>
      <c r="P55" s="28"/>
    </row>
    <row r="56" spans="1:20" ht="17.25">
      <c r="A56" s="36" t="s">
        <v>27</v>
      </c>
      <c r="B56" s="38" t="s">
        <v>41</v>
      </c>
      <c r="C56" s="36"/>
      <c r="D56" s="23">
        <v>0.01</v>
      </c>
      <c r="E56" s="23">
        <v>26.72</v>
      </c>
      <c r="F56" s="23">
        <v>29.43</v>
      </c>
      <c r="G56" s="23">
        <v>24.24</v>
      </c>
      <c r="H56" s="23">
        <v>15.25</v>
      </c>
      <c r="I56" s="23">
        <v>3.91</v>
      </c>
      <c r="J56" s="24">
        <v>0.36</v>
      </c>
      <c r="K56" s="24">
        <v>0.06</v>
      </c>
      <c r="L56" s="24" t="s">
        <v>59</v>
      </c>
      <c r="M56" s="45">
        <f>SUM(Tabelle246[[#This Row],[Direktbeihilfen von weniger als 0 € je Betrieb]:[Direktbeihilfen von 300 000 € und mehr je Betrieb]])</f>
        <v>99.97999999999999</v>
      </c>
      <c r="N56" s="25"/>
      <c r="O56" s="27"/>
      <c r="P56" s="28"/>
    </row>
    <row r="57" spans="1:20" ht="17.25">
      <c r="A57" s="36" t="s">
        <v>28</v>
      </c>
      <c r="B57" s="38" t="s">
        <v>41</v>
      </c>
      <c r="C57" s="36"/>
      <c r="D57" s="23">
        <v>0.01</v>
      </c>
      <c r="E57" s="23">
        <v>69.02</v>
      </c>
      <c r="F57" s="23">
        <v>18.239999999999998</v>
      </c>
      <c r="G57" s="23">
        <v>8.41</v>
      </c>
      <c r="H57" s="23">
        <v>3.22</v>
      </c>
      <c r="I57" s="23">
        <v>0.84</v>
      </c>
      <c r="J57" s="24">
        <v>0.17</v>
      </c>
      <c r="K57" s="24">
        <v>0.06</v>
      </c>
      <c r="L57" s="24" t="s">
        <v>59</v>
      </c>
      <c r="M57" s="45">
        <f>SUM(Tabelle246[[#This Row],[Direktbeihilfen von weniger als 0 € je Betrieb]:[Direktbeihilfen von 300 000 € und mehr je Betrieb]])</f>
        <v>99.97</v>
      </c>
      <c r="N57" s="25"/>
      <c r="O57" s="27"/>
    </row>
    <row r="58" spans="1:20" ht="17.25">
      <c r="A58" s="36" t="s">
        <v>29</v>
      </c>
      <c r="B58" s="38" t="s">
        <v>41</v>
      </c>
      <c r="C58" s="36"/>
      <c r="D58" s="23">
        <v>0.02</v>
      </c>
      <c r="E58" s="23">
        <v>75.3</v>
      </c>
      <c r="F58" s="23">
        <v>11.25</v>
      </c>
      <c r="G58" s="23">
        <v>5.32</v>
      </c>
      <c r="H58" s="23">
        <v>4.1399999999999997</v>
      </c>
      <c r="I58" s="23">
        <v>2.61</v>
      </c>
      <c r="J58" s="24">
        <v>0.94</v>
      </c>
      <c r="K58" s="24">
        <v>0.4</v>
      </c>
      <c r="L58" s="24">
        <v>0.01</v>
      </c>
      <c r="M58" s="45">
        <f>SUM(Tabelle246[[#This Row],[Direktbeihilfen von weniger als 0 € je Betrieb]:[Direktbeihilfen von 300 000 € und mehr je Betrieb]])</f>
        <v>99.99</v>
      </c>
      <c r="N58" s="25"/>
      <c r="O58" s="27"/>
      <c r="P58" s="28"/>
    </row>
    <row r="59" spans="1:20" ht="17.25">
      <c r="A59" s="36" t="s">
        <v>30</v>
      </c>
      <c r="B59" s="38" t="s">
        <v>41</v>
      </c>
      <c r="C59" s="36"/>
      <c r="D59" s="23">
        <v>0.06</v>
      </c>
      <c r="E59" s="23">
        <v>86.45</v>
      </c>
      <c r="F59" s="23">
        <v>6.53</v>
      </c>
      <c r="G59" s="23">
        <v>3.31</v>
      </c>
      <c r="H59" s="23">
        <v>1.84</v>
      </c>
      <c r="I59" s="23">
        <v>1.1499999999999999</v>
      </c>
      <c r="J59" s="24">
        <v>0.38</v>
      </c>
      <c r="K59" s="24">
        <v>0.23</v>
      </c>
      <c r="L59" s="24">
        <v>0.05</v>
      </c>
      <c r="M59" s="45">
        <f>SUM(Tabelle246[[#This Row],[Direktbeihilfen von weniger als 0 € je Betrieb]:[Direktbeihilfen von 300 000 € und mehr je Betrieb]])</f>
        <v>100.00000000000001</v>
      </c>
      <c r="N59" s="25"/>
      <c r="O59" s="27"/>
      <c r="P59" s="28"/>
    </row>
    <row r="60" spans="1:20" ht="17.25">
      <c r="A60" s="36" t="s">
        <v>31</v>
      </c>
      <c r="B60" s="38" t="s">
        <v>41</v>
      </c>
      <c r="C60" s="36"/>
      <c r="D60" s="23" t="s">
        <v>59</v>
      </c>
      <c r="E60" s="23">
        <v>69.23</v>
      </c>
      <c r="F60" s="23">
        <v>20.91</v>
      </c>
      <c r="G60" s="23">
        <v>6.58</v>
      </c>
      <c r="H60" s="23">
        <v>2.48</v>
      </c>
      <c r="I60" s="23">
        <v>0.72</v>
      </c>
      <c r="J60" s="24">
        <v>0.06</v>
      </c>
      <c r="K60" s="24">
        <v>0.01</v>
      </c>
      <c r="L60" s="24">
        <v>0.02</v>
      </c>
      <c r="M60" s="45">
        <f>SUM(Tabelle246[[#This Row],[Direktbeihilfen von weniger als 0 € je Betrieb]:[Direktbeihilfen von 300 000 € und mehr je Betrieb]])</f>
        <v>100.01</v>
      </c>
      <c r="N60" s="25"/>
      <c r="O60" s="27"/>
      <c r="P60" s="28"/>
    </row>
    <row r="61" spans="1:20" ht="17.25">
      <c r="A61" s="36" t="s">
        <v>32</v>
      </c>
      <c r="B61" s="38" t="s">
        <v>41</v>
      </c>
      <c r="C61" s="36"/>
      <c r="D61" s="23" t="s">
        <v>59</v>
      </c>
      <c r="E61" s="23">
        <v>55.04</v>
      </c>
      <c r="F61" s="23">
        <v>16.940000000000001</v>
      </c>
      <c r="G61" s="23">
        <v>8.09</v>
      </c>
      <c r="H61" s="23">
        <v>5.87</v>
      </c>
      <c r="I61" s="23">
        <v>5.13</v>
      </c>
      <c r="J61" s="24">
        <v>3.01</v>
      </c>
      <c r="K61" s="24">
        <v>3.79</v>
      </c>
      <c r="L61" s="24">
        <v>2.12</v>
      </c>
      <c r="M61" s="45">
        <f>SUM(Tabelle246[[#This Row],[Direktbeihilfen von weniger als 0 € je Betrieb]:[Direktbeihilfen von 300 000 € und mehr je Betrieb]])</f>
        <v>99.990000000000023</v>
      </c>
      <c r="N61" s="25"/>
      <c r="O61" s="27"/>
      <c r="P61" s="28"/>
    </row>
    <row r="62" spans="1:20" ht="17.25">
      <c r="A62" s="36" t="s">
        <v>33</v>
      </c>
      <c r="B62" s="38" t="s">
        <v>41</v>
      </c>
      <c r="C62" s="36"/>
      <c r="D62" s="23" t="s">
        <v>59</v>
      </c>
      <c r="E62" s="23">
        <v>21.2</v>
      </c>
      <c r="F62" s="23">
        <v>26.15</v>
      </c>
      <c r="G62" s="23">
        <v>20.96</v>
      </c>
      <c r="H62" s="23">
        <v>17.52</v>
      </c>
      <c r="I62" s="23">
        <v>11.56</v>
      </c>
      <c r="J62" s="24">
        <v>2.08</v>
      </c>
      <c r="K62" s="24">
        <v>0.49</v>
      </c>
      <c r="L62" s="24">
        <v>0.02</v>
      </c>
      <c r="M62" s="45">
        <f>SUM(Tabelle246[[#This Row],[Direktbeihilfen von weniger als 0 € je Betrieb]:[Direktbeihilfen von 300 000 € und mehr je Betrieb]])</f>
        <v>99.97999999999999</v>
      </c>
      <c r="N62" s="25"/>
      <c r="O62" s="27"/>
    </row>
    <row r="63" spans="1:20" ht="17.25">
      <c r="A63" s="36" t="s">
        <v>34</v>
      </c>
      <c r="B63" s="38" t="s">
        <v>41</v>
      </c>
      <c r="C63" s="36"/>
      <c r="D63" s="23" t="s">
        <v>59</v>
      </c>
      <c r="E63" s="23">
        <v>31.99</v>
      </c>
      <c r="F63" s="23">
        <v>25.17</v>
      </c>
      <c r="G63" s="23">
        <v>13.96</v>
      </c>
      <c r="H63" s="23">
        <v>11.82</v>
      </c>
      <c r="I63" s="23">
        <v>11.79</v>
      </c>
      <c r="J63" s="24">
        <v>4.0599999999999996</v>
      </c>
      <c r="K63" s="24">
        <v>1.17</v>
      </c>
      <c r="L63" s="24">
        <v>0.04</v>
      </c>
      <c r="M63" s="45">
        <f>SUM(Tabelle246[[#This Row],[Direktbeihilfen von weniger als 0 € je Betrieb]:[Direktbeihilfen von 300 000 € und mehr je Betrieb]])</f>
        <v>100</v>
      </c>
      <c r="N63" s="25"/>
      <c r="O63" s="27"/>
    </row>
    <row r="64" spans="1:20" ht="17.25">
      <c r="A64" s="36" t="s">
        <v>35</v>
      </c>
      <c r="B64" s="38" t="s">
        <v>41</v>
      </c>
      <c r="C64" s="36"/>
      <c r="D64" s="23">
        <v>0.03</v>
      </c>
      <c r="E64" s="23">
        <v>9.92</v>
      </c>
      <c r="F64" s="23">
        <v>19.89</v>
      </c>
      <c r="G64" s="23">
        <v>17.75</v>
      </c>
      <c r="H64" s="23">
        <v>20.440000000000001</v>
      </c>
      <c r="I64" s="23">
        <v>21.39</v>
      </c>
      <c r="J64" s="24">
        <v>7.44</v>
      </c>
      <c r="K64" s="24">
        <v>2.92</v>
      </c>
      <c r="L64" s="24">
        <v>0.23</v>
      </c>
      <c r="M64" s="45">
        <f>SUM(Tabelle246[[#This Row],[Direktbeihilfen von weniger als 0 € je Betrieb]:[Direktbeihilfen von 300 000 € und mehr je Betrieb]])</f>
        <v>100.01</v>
      </c>
      <c r="N64" s="25"/>
      <c r="O64" s="27"/>
    </row>
    <row r="65" spans="1:15" ht="17.25">
      <c r="A65" s="37" t="s">
        <v>6</v>
      </c>
      <c r="B65" s="38" t="s">
        <v>41</v>
      </c>
      <c r="C65" s="37"/>
      <c r="D65" s="29">
        <v>0.06</v>
      </c>
      <c r="E65" s="29">
        <v>57.33</v>
      </c>
      <c r="F65" s="29">
        <v>17.2</v>
      </c>
      <c r="G65" s="29">
        <v>9.94</v>
      </c>
      <c r="H65" s="29">
        <v>7.51</v>
      </c>
      <c r="I65" s="29">
        <v>5.99</v>
      </c>
      <c r="J65" s="30">
        <v>1.45</v>
      </c>
      <c r="K65" s="30">
        <v>0.46</v>
      </c>
      <c r="L65" s="30">
        <v>7.0000000000000007E-2</v>
      </c>
      <c r="M65" s="46">
        <f>SUM(Tabelle246[[#This Row],[Direktbeihilfen von weniger als 0 € je Betrieb]:[Direktbeihilfen von 300 000 € und mehr je Betrieb]])</f>
        <v>100.00999999999999</v>
      </c>
      <c r="N65" s="27"/>
      <c r="O65" s="27"/>
    </row>
    <row r="66" spans="1:15" ht="17.25">
      <c r="A66" s="32" t="s">
        <v>68</v>
      </c>
      <c r="B66" s="32"/>
      <c r="C66" s="32"/>
      <c r="D66" s="17"/>
      <c r="E66" s="17"/>
      <c r="F66" s="17"/>
      <c r="G66" s="17"/>
      <c r="H66" s="17"/>
      <c r="I66" s="17"/>
      <c r="J66" s="17"/>
      <c r="K66" s="17"/>
      <c r="L66" s="17"/>
      <c r="M66" s="34"/>
    </row>
    <row r="67" spans="1:15" ht="17.25">
      <c r="A67" s="32" t="s">
        <v>64</v>
      </c>
      <c r="B67" s="32"/>
      <c r="C67" s="32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5" s="17" customFormat="1">
      <c r="A68" s="33" t="s">
        <v>0</v>
      </c>
      <c r="B68" s="33"/>
      <c r="C68" s="33"/>
    </row>
  </sheetData>
  <pageMargins left="1.5748031496062993" right="1.6535433070866143" top="0.59055118110236227" bottom="2.2834645669291338" header="0.51181102362204722" footer="0.51181102362204722"/>
  <pageSetup paperSize="9" scale="97" orientation="portrait" r:id="rId1"/>
  <headerFooter alignWithMargins="0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8"/>
  <sheetViews>
    <sheetView zoomScaleNormal="100" workbookViewId="0"/>
  </sheetViews>
  <sheetFormatPr baseColWidth="10" defaultColWidth="9.140625" defaultRowHeight="16.5"/>
  <cols>
    <col min="1" max="1" width="16.85546875" style="4" customWidth="1"/>
    <col min="2" max="2" width="12.140625" style="4" customWidth="1"/>
    <col min="3" max="3" width="8.7109375" style="4" customWidth="1"/>
    <col min="4" max="4" width="21.140625" style="18" customWidth="1"/>
    <col min="5" max="13" width="21.140625" style="4" customWidth="1"/>
    <col min="14" max="16384" width="9.140625" style="4"/>
  </cols>
  <sheetData>
    <row r="1" spans="1:16" ht="17.25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ht="17.25">
      <c r="A2" s="20" t="s">
        <v>55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16"/>
    </row>
    <row r="3" spans="1:16">
      <c r="A3" s="20" t="s">
        <v>4</v>
      </c>
      <c r="B3" s="20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6">
      <c r="A4" s="20" t="s">
        <v>53</v>
      </c>
      <c r="B4" s="20"/>
      <c r="C4" s="20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6" ht="39.75" customHeight="1">
      <c r="A5" s="44" t="s">
        <v>5</v>
      </c>
      <c r="B5" s="47" t="s">
        <v>39</v>
      </c>
      <c r="C5" s="47" t="s">
        <v>40</v>
      </c>
      <c r="D5" s="41" t="s">
        <v>36</v>
      </c>
      <c r="E5" s="42" t="s">
        <v>44</v>
      </c>
      <c r="F5" s="42" t="s">
        <v>49</v>
      </c>
      <c r="G5" s="42" t="s">
        <v>50</v>
      </c>
      <c r="H5" s="42" t="s">
        <v>51</v>
      </c>
      <c r="I5" s="42" t="s">
        <v>48</v>
      </c>
      <c r="J5" s="42" t="s">
        <v>47</v>
      </c>
      <c r="K5" s="42" t="s">
        <v>46</v>
      </c>
      <c r="L5" s="42" t="s">
        <v>45</v>
      </c>
      <c r="M5" s="43" t="s">
        <v>37</v>
      </c>
    </row>
    <row r="6" spans="1:16" ht="17.25">
      <c r="A6" s="36" t="s">
        <v>8</v>
      </c>
      <c r="B6" s="38" t="s">
        <v>43</v>
      </c>
      <c r="C6" s="36"/>
      <c r="D6" s="5">
        <v>3.1E-2</v>
      </c>
      <c r="E6" s="6">
        <v>5.569</v>
      </c>
      <c r="F6" s="6">
        <v>6.0910000000000002</v>
      </c>
      <c r="G6" s="6">
        <v>5.9589999999999996</v>
      </c>
      <c r="H6" s="6">
        <v>7.9859999999999998</v>
      </c>
      <c r="I6" s="6">
        <v>6.968</v>
      </c>
      <c r="J6" s="7">
        <v>1.173</v>
      </c>
      <c r="K6" s="7">
        <v>0.109</v>
      </c>
      <c r="L6" s="8">
        <v>1E-3</v>
      </c>
      <c r="M6" s="6">
        <v>33.887</v>
      </c>
      <c r="N6" s="9"/>
      <c r="P6" s="6"/>
    </row>
    <row r="7" spans="1:16" ht="17.25">
      <c r="A7" s="36" t="s">
        <v>9</v>
      </c>
      <c r="B7" s="38" t="s">
        <v>43</v>
      </c>
      <c r="C7" s="36"/>
      <c r="D7" s="5">
        <v>2E-3</v>
      </c>
      <c r="E7" s="6">
        <v>30.184999999999999</v>
      </c>
      <c r="F7" s="6">
        <v>13.316000000000001</v>
      </c>
      <c r="G7" s="6">
        <v>9.8439999999999994</v>
      </c>
      <c r="H7" s="6">
        <v>6.03</v>
      </c>
      <c r="I7" s="6">
        <v>3.524</v>
      </c>
      <c r="J7" s="7">
        <v>1.526</v>
      </c>
      <c r="K7" s="7">
        <v>1.393</v>
      </c>
      <c r="L7" s="8">
        <v>0.23</v>
      </c>
      <c r="M7" s="6">
        <v>66.05</v>
      </c>
      <c r="N7" s="9"/>
    </row>
    <row r="8" spans="1:16" ht="17.25">
      <c r="A8" s="36" t="s">
        <v>10</v>
      </c>
      <c r="B8" s="38" t="s">
        <v>43</v>
      </c>
      <c r="C8" s="36"/>
      <c r="D8" s="10">
        <v>1E-3</v>
      </c>
      <c r="E8" s="6">
        <v>11.071</v>
      </c>
      <c r="F8" s="6">
        <v>6.1840000000000002</v>
      </c>
      <c r="G8" s="6">
        <v>3.948</v>
      </c>
      <c r="H8" s="6">
        <v>3.202</v>
      </c>
      <c r="I8" s="6">
        <v>2.7170000000000001</v>
      </c>
      <c r="J8" s="7">
        <v>1.0680000000000001</v>
      </c>
      <c r="K8" s="7">
        <v>1.3069999999999999</v>
      </c>
      <c r="L8" s="8">
        <v>0.67300000000000004</v>
      </c>
      <c r="M8" s="6">
        <v>30.170999999999999</v>
      </c>
      <c r="N8" s="9"/>
    </row>
    <row r="9" spans="1:16" ht="17.25">
      <c r="A9" s="36" t="s">
        <v>11</v>
      </c>
      <c r="B9" s="38" t="s">
        <v>43</v>
      </c>
      <c r="C9" s="36"/>
      <c r="D9" s="5">
        <v>1.7000000000000001E-2</v>
      </c>
      <c r="E9" s="6">
        <v>10.869</v>
      </c>
      <c r="F9" s="6">
        <v>7.8650000000000002</v>
      </c>
      <c r="G9" s="6">
        <v>4.8179999999999996</v>
      </c>
      <c r="H9" s="6">
        <v>4.274</v>
      </c>
      <c r="I9" s="6">
        <v>5.1289999999999996</v>
      </c>
      <c r="J9" s="7">
        <v>3.24</v>
      </c>
      <c r="K9" s="7">
        <v>1.659</v>
      </c>
      <c r="L9" s="8">
        <v>0.1</v>
      </c>
      <c r="M9" s="6">
        <v>37.970999999999997</v>
      </c>
      <c r="N9" s="9"/>
    </row>
    <row r="10" spans="1:16" ht="17.25">
      <c r="A10" s="37" t="s">
        <v>12</v>
      </c>
      <c r="B10" s="38" t="s">
        <v>43</v>
      </c>
      <c r="C10" s="37"/>
      <c r="D10" s="11">
        <v>1.4999999999999999E-2</v>
      </c>
      <c r="E10" s="12">
        <v>78.361999999999995</v>
      </c>
      <c r="F10" s="12">
        <v>61.878</v>
      </c>
      <c r="G10" s="12">
        <v>51.826000000000001</v>
      </c>
      <c r="H10" s="12">
        <v>56.436999999999998</v>
      </c>
      <c r="I10" s="12">
        <v>47.683</v>
      </c>
      <c r="J10" s="13">
        <v>9.3789999999999996</v>
      </c>
      <c r="K10" s="13">
        <v>4.1559999999999997</v>
      </c>
      <c r="L10" s="14">
        <v>1.1850000000000001</v>
      </c>
      <c r="M10" s="39">
        <v>310.92099999999999</v>
      </c>
      <c r="N10" s="9"/>
    </row>
    <row r="11" spans="1:16" ht="17.25">
      <c r="A11" s="36" t="s">
        <v>13</v>
      </c>
      <c r="B11" s="38" t="s">
        <v>43</v>
      </c>
      <c r="C11" s="36"/>
      <c r="D11" s="19" t="s">
        <v>2</v>
      </c>
      <c r="E11" s="15">
        <v>8.6449999999999996</v>
      </c>
      <c r="F11" s="15">
        <v>2.3690000000000002</v>
      </c>
      <c r="G11" s="15">
        <v>1.1819999999999999</v>
      </c>
      <c r="H11" s="15">
        <v>0.90900000000000003</v>
      </c>
      <c r="I11" s="15">
        <v>0.85699999999999998</v>
      </c>
      <c r="J11" s="7">
        <v>0.34399999999999997</v>
      </c>
      <c r="K11" s="7">
        <v>0.22</v>
      </c>
      <c r="L11" s="8">
        <v>2.8000000000000001E-2</v>
      </c>
      <c r="M11" s="6">
        <v>14.554</v>
      </c>
      <c r="N11" s="9"/>
    </row>
    <row r="12" spans="1:16" ht="17.25">
      <c r="A12" s="36" t="s">
        <v>14</v>
      </c>
      <c r="B12" s="38" t="s">
        <v>43</v>
      </c>
      <c r="C12" s="36"/>
      <c r="D12" s="7">
        <v>7.0000000000000001E-3</v>
      </c>
      <c r="E12" s="15">
        <v>16.786000000000001</v>
      </c>
      <c r="F12" s="15">
        <v>33.701000000000001</v>
      </c>
      <c r="G12" s="15">
        <v>33.704000000000001</v>
      </c>
      <c r="H12" s="15">
        <v>25.152000000000001</v>
      </c>
      <c r="I12" s="15">
        <v>12.367000000000001</v>
      </c>
      <c r="J12" s="7">
        <v>1.4019999999999999</v>
      </c>
      <c r="K12" s="7">
        <v>0.183</v>
      </c>
      <c r="L12" s="8">
        <v>0</v>
      </c>
      <c r="M12" s="6">
        <v>123.30200000000001</v>
      </c>
      <c r="N12" s="9"/>
    </row>
    <row r="13" spans="1:16" ht="17.25">
      <c r="A13" s="36" t="s">
        <v>15</v>
      </c>
      <c r="B13" s="38" t="s">
        <v>43</v>
      </c>
      <c r="C13" s="36"/>
      <c r="D13" s="7">
        <v>8.0000000000000002E-3</v>
      </c>
      <c r="E13" s="15">
        <v>364.36</v>
      </c>
      <c r="F13" s="15">
        <v>134.01499999999999</v>
      </c>
      <c r="G13" s="15">
        <v>64.405000000000001</v>
      </c>
      <c r="H13" s="15">
        <v>31.905999999999999</v>
      </c>
      <c r="I13" s="15">
        <v>10.173</v>
      </c>
      <c r="J13" s="7">
        <v>0.84599999999999997</v>
      </c>
      <c r="K13" s="7">
        <v>8.8999999999999996E-2</v>
      </c>
      <c r="L13" s="8">
        <v>0</v>
      </c>
      <c r="M13" s="6">
        <v>605.80200000000002</v>
      </c>
      <c r="N13" s="9"/>
    </row>
    <row r="14" spans="1:16" ht="17.25">
      <c r="A14" s="36" t="s">
        <v>16</v>
      </c>
      <c r="B14" s="38" t="s">
        <v>43</v>
      </c>
      <c r="C14" s="36"/>
      <c r="D14" s="7">
        <v>0.13700000000000001</v>
      </c>
      <c r="E14" s="15">
        <v>317.80200000000002</v>
      </c>
      <c r="F14" s="15">
        <v>136.63300000000001</v>
      </c>
      <c r="G14" s="15">
        <v>79.257000000000005</v>
      </c>
      <c r="H14" s="15">
        <v>64.658000000000001</v>
      </c>
      <c r="I14" s="15">
        <v>50.390999999999998</v>
      </c>
      <c r="J14" s="7">
        <v>10.692</v>
      </c>
      <c r="K14" s="7">
        <v>3.2719999999999998</v>
      </c>
      <c r="L14" s="8">
        <v>0.312</v>
      </c>
      <c r="M14" s="6">
        <v>663.154</v>
      </c>
      <c r="N14" s="9"/>
    </row>
    <row r="15" spans="1:16" ht="17.25">
      <c r="A15" s="36" t="s">
        <v>17</v>
      </c>
      <c r="B15" s="38" t="s">
        <v>43</v>
      </c>
      <c r="C15" s="36"/>
      <c r="D15" s="7">
        <v>0.52900000000000003</v>
      </c>
      <c r="E15" s="15">
        <v>53.856000000000002</v>
      </c>
      <c r="F15" s="15">
        <v>33.164999999999999</v>
      </c>
      <c r="G15" s="15">
        <v>34.146999999999998</v>
      </c>
      <c r="H15" s="15">
        <v>65.369</v>
      </c>
      <c r="I15" s="15">
        <v>109.967</v>
      </c>
      <c r="J15" s="7">
        <v>25.661999999999999</v>
      </c>
      <c r="K15" s="7">
        <v>2.2989999999999999</v>
      </c>
      <c r="L15" s="8">
        <v>0.11799999999999999</v>
      </c>
      <c r="M15" s="6">
        <v>325.11200000000002</v>
      </c>
      <c r="N15" s="9"/>
    </row>
    <row r="16" spans="1:16" ht="17.25">
      <c r="A16" s="36" t="s">
        <v>18</v>
      </c>
      <c r="B16" s="38" t="s">
        <v>43</v>
      </c>
      <c r="C16" s="36"/>
      <c r="D16" s="7">
        <v>3.0000000000000001E-3</v>
      </c>
      <c r="E16" s="15">
        <v>80.406000000000006</v>
      </c>
      <c r="F16" s="15">
        <v>13.289</v>
      </c>
      <c r="G16" s="15">
        <v>5.6070000000000002</v>
      </c>
      <c r="H16" s="15">
        <v>3.274</v>
      </c>
      <c r="I16" s="15">
        <v>1.3240000000000001</v>
      </c>
      <c r="J16" s="7">
        <v>0.17599999999999999</v>
      </c>
      <c r="K16" s="7">
        <v>9.4E-2</v>
      </c>
      <c r="L16" s="8">
        <v>2.9000000000000001E-2</v>
      </c>
      <c r="M16" s="6">
        <v>104.202</v>
      </c>
      <c r="N16" s="9"/>
    </row>
    <row r="17" spans="1:14" ht="17.25">
      <c r="A17" s="36" t="s">
        <v>19</v>
      </c>
      <c r="B17" s="38" t="s">
        <v>43</v>
      </c>
      <c r="C17" s="36"/>
      <c r="D17" s="7">
        <v>0.67800000000000005</v>
      </c>
      <c r="E17" s="15">
        <v>503.23</v>
      </c>
      <c r="F17" s="15">
        <v>142.70699999999999</v>
      </c>
      <c r="G17" s="15">
        <v>70.274000000000001</v>
      </c>
      <c r="H17" s="15">
        <v>43.905000000000001</v>
      </c>
      <c r="I17" s="15">
        <v>25.337</v>
      </c>
      <c r="J17" s="7">
        <v>6.5250000000000004</v>
      </c>
      <c r="K17" s="7">
        <v>2.34</v>
      </c>
      <c r="L17" s="8">
        <v>0.19400000000000001</v>
      </c>
      <c r="M17" s="6">
        <v>795.19</v>
      </c>
      <c r="N17" s="9"/>
    </row>
    <row r="18" spans="1:14" ht="17.25">
      <c r="A18" s="36" t="s">
        <v>20</v>
      </c>
      <c r="B18" s="38" t="s">
        <v>43</v>
      </c>
      <c r="C18" s="36"/>
      <c r="D18" s="7">
        <v>0.13300000000000001</v>
      </c>
      <c r="E18" s="15">
        <v>27.951000000000001</v>
      </c>
      <c r="F18" s="15">
        <v>2.6859999999999999</v>
      </c>
      <c r="G18" s="15">
        <v>0.90900000000000003</v>
      </c>
      <c r="H18" s="15">
        <v>0.52400000000000002</v>
      </c>
      <c r="I18" s="15">
        <v>0.27400000000000002</v>
      </c>
      <c r="J18" s="7">
        <v>4.5999999999999999E-2</v>
      </c>
      <c r="K18" s="7">
        <v>1.0999999999999999E-2</v>
      </c>
      <c r="L18" s="48" t="s">
        <v>2</v>
      </c>
      <c r="M18" s="6">
        <v>32.533999999999999</v>
      </c>
      <c r="N18" s="9"/>
    </row>
    <row r="19" spans="1:14" ht="17.25">
      <c r="A19" s="36" t="s">
        <v>21</v>
      </c>
      <c r="B19" s="38" t="s">
        <v>43</v>
      </c>
      <c r="C19" s="36"/>
      <c r="D19" s="19" t="s">
        <v>2</v>
      </c>
      <c r="E19" s="15">
        <v>41.985999999999997</v>
      </c>
      <c r="F19" s="15">
        <v>7.6059999999999999</v>
      </c>
      <c r="G19" s="15">
        <v>3.383</v>
      </c>
      <c r="H19" s="15">
        <v>2.25</v>
      </c>
      <c r="I19" s="15">
        <v>1.5960000000000001</v>
      </c>
      <c r="J19" s="7">
        <v>0.53600000000000003</v>
      </c>
      <c r="K19" s="7">
        <v>0.248</v>
      </c>
      <c r="L19" s="8">
        <v>3.5000000000000003E-2</v>
      </c>
      <c r="M19" s="6">
        <v>57.64</v>
      </c>
      <c r="N19" s="9"/>
    </row>
    <row r="20" spans="1:14" ht="17.25">
      <c r="A20" s="36" t="s">
        <v>22</v>
      </c>
      <c r="B20" s="38" t="s">
        <v>43</v>
      </c>
      <c r="C20" s="36"/>
      <c r="D20" s="7">
        <v>2.5999999999999999E-2</v>
      </c>
      <c r="E20" s="15">
        <v>86.59</v>
      </c>
      <c r="F20" s="15">
        <v>19.978000000000002</v>
      </c>
      <c r="G20" s="15">
        <v>8.8770000000000007</v>
      </c>
      <c r="H20" s="15">
        <v>5.9039999999999999</v>
      </c>
      <c r="I20" s="15">
        <v>3.194</v>
      </c>
      <c r="J20" s="7">
        <v>0.64100000000000001</v>
      </c>
      <c r="K20" s="7">
        <v>0.245</v>
      </c>
      <c r="L20" s="8">
        <v>0.04</v>
      </c>
      <c r="M20" s="6">
        <v>125.495</v>
      </c>
      <c r="N20" s="9"/>
    </row>
    <row r="21" spans="1:14" ht="17.25">
      <c r="A21" s="36" t="s">
        <v>23</v>
      </c>
      <c r="B21" s="38" t="s">
        <v>43</v>
      </c>
      <c r="C21" s="36"/>
      <c r="D21" s="19" t="s">
        <v>2</v>
      </c>
      <c r="E21" s="15">
        <v>0.28999999999999998</v>
      </c>
      <c r="F21" s="15">
        <v>0.19</v>
      </c>
      <c r="G21" s="15">
        <v>0.19700000000000001</v>
      </c>
      <c r="H21" s="15">
        <v>0.372</v>
      </c>
      <c r="I21" s="15">
        <v>0.60899999999999999</v>
      </c>
      <c r="J21" s="7">
        <v>0.09</v>
      </c>
      <c r="K21" s="7">
        <v>8.0000000000000002E-3</v>
      </c>
      <c r="L21" s="19" t="s">
        <v>2</v>
      </c>
      <c r="M21" s="6">
        <v>1.756</v>
      </c>
      <c r="N21" s="9"/>
    </row>
    <row r="22" spans="1:14" ht="17.25">
      <c r="A22" s="36" t="s">
        <v>24</v>
      </c>
      <c r="B22" s="38" t="s">
        <v>43</v>
      </c>
      <c r="C22" s="36"/>
      <c r="D22" s="7">
        <v>8.4000000000000005E-2</v>
      </c>
      <c r="E22" s="15">
        <v>100.151</v>
      </c>
      <c r="F22" s="15">
        <v>33.518999999999998</v>
      </c>
      <c r="G22" s="15">
        <v>15.092000000000001</v>
      </c>
      <c r="H22" s="15">
        <v>9.8529999999999998</v>
      </c>
      <c r="I22" s="15">
        <v>7.9630000000000001</v>
      </c>
      <c r="J22" s="7">
        <v>2.738</v>
      </c>
      <c r="K22" s="7">
        <v>1.452</v>
      </c>
      <c r="L22" s="8">
        <v>0.316</v>
      </c>
      <c r="M22" s="6">
        <v>171.16800000000001</v>
      </c>
      <c r="N22" s="9"/>
    </row>
    <row r="23" spans="1:14" ht="17.25">
      <c r="A23" s="36" t="s">
        <v>25</v>
      </c>
      <c r="B23" s="38" t="s">
        <v>43</v>
      </c>
      <c r="C23" s="36"/>
      <c r="D23" s="19" t="s">
        <v>2</v>
      </c>
      <c r="E23" s="15">
        <v>4.76</v>
      </c>
      <c r="F23" s="15">
        <v>0.14399999999999999</v>
      </c>
      <c r="G23" s="15">
        <v>6.4000000000000001E-2</v>
      </c>
      <c r="H23" s="15">
        <v>0.05</v>
      </c>
      <c r="I23" s="15">
        <v>4.2999999999999997E-2</v>
      </c>
      <c r="J23" s="7">
        <v>5.0000000000000001E-3</v>
      </c>
      <c r="K23" s="7">
        <v>0</v>
      </c>
      <c r="L23" s="19" t="s">
        <v>2</v>
      </c>
      <c r="M23" s="6">
        <v>5.0659999999999998</v>
      </c>
      <c r="N23" s="9"/>
    </row>
    <row r="24" spans="1:14" ht="17.25">
      <c r="A24" s="36" t="s">
        <v>26</v>
      </c>
      <c r="B24" s="38" t="s">
        <v>43</v>
      </c>
      <c r="C24" s="36"/>
      <c r="D24" s="19" t="s">
        <v>2</v>
      </c>
      <c r="E24" s="15">
        <v>4.2610000000000001</v>
      </c>
      <c r="F24" s="15">
        <v>8.39</v>
      </c>
      <c r="G24" s="15">
        <v>8.2690000000000001</v>
      </c>
      <c r="H24" s="15">
        <v>12.061</v>
      </c>
      <c r="I24" s="15">
        <v>10.23</v>
      </c>
      <c r="J24" s="7">
        <v>1.23</v>
      </c>
      <c r="K24" s="7">
        <v>0.191</v>
      </c>
      <c r="L24" s="8">
        <v>6.0000000000000001E-3</v>
      </c>
      <c r="M24" s="6">
        <v>44.637999999999998</v>
      </c>
      <c r="N24" s="9"/>
    </row>
    <row r="25" spans="1:14" ht="17.25">
      <c r="A25" s="36" t="s">
        <v>27</v>
      </c>
      <c r="B25" s="38" t="s">
        <v>43</v>
      </c>
      <c r="C25" s="36"/>
      <c r="D25" s="7">
        <v>1.2999999999999999E-2</v>
      </c>
      <c r="E25" s="15">
        <v>29.945</v>
      </c>
      <c r="F25" s="15">
        <v>30.626999999999999</v>
      </c>
      <c r="G25" s="15">
        <v>25.204999999999998</v>
      </c>
      <c r="H25" s="15">
        <v>15.986000000000001</v>
      </c>
      <c r="I25" s="15">
        <v>4.2560000000000002</v>
      </c>
      <c r="J25" s="7">
        <v>0.35199999999999998</v>
      </c>
      <c r="K25" s="7">
        <v>7.1999999999999995E-2</v>
      </c>
      <c r="L25" s="8">
        <v>7.0000000000000001E-3</v>
      </c>
      <c r="M25" s="6">
        <v>106.46299999999999</v>
      </c>
      <c r="N25" s="9"/>
    </row>
    <row r="26" spans="1:14" ht="17.25">
      <c r="A26" s="36" t="s">
        <v>28</v>
      </c>
      <c r="B26" s="38" t="s">
        <v>43</v>
      </c>
      <c r="C26" s="36"/>
      <c r="D26" s="7">
        <v>0.27300000000000002</v>
      </c>
      <c r="E26" s="15">
        <v>915.66499999999996</v>
      </c>
      <c r="F26" s="15">
        <v>242.196</v>
      </c>
      <c r="G26" s="15">
        <v>110.233</v>
      </c>
      <c r="H26" s="15">
        <v>40.725000000000001</v>
      </c>
      <c r="I26" s="15">
        <v>10.432</v>
      </c>
      <c r="J26" s="7">
        <v>2.1669999999999998</v>
      </c>
      <c r="K26" s="7">
        <v>0.9</v>
      </c>
      <c r="L26" s="8">
        <v>9.1999999999999998E-2</v>
      </c>
      <c r="M26" s="6">
        <v>1322.683</v>
      </c>
      <c r="N26" s="9"/>
    </row>
    <row r="27" spans="1:14" ht="17.25">
      <c r="A27" s="36" t="s">
        <v>29</v>
      </c>
      <c r="B27" s="38" t="s">
        <v>43</v>
      </c>
      <c r="C27" s="36"/>
      <c r="D27" s="7">
        <v>8.8999999999999996E-2</v>
      </c>
      <c r="E27" s="15">
        <v>129.99100000000001</v>
      </c>
      <c r="F27" s="15">
        <v>19.058</v>
      </c>
      <c r="G27" s="15">
        <v>9.0139999999999993</v>
      </c>
      <c r="H27" s="15">
        <v>6.7649999999999997</v>
      </c>
      <c r="I27" s="15">
        <v>4.3789999999999996</v>
      </c>
      <c r="J27" s="7">
        <v>1.5640000000000001</v>
      </c>
      <c r="K27" s="7">
        <v>0.69099999999999995</v>
      </c>
      <c r="L27" s="8">
        <v>0.03</v>
      </c>
      <c r="M27" s="6">
        <v>171.58099999999999</v>
      </c>
      <c r="N27" s="9"/>
    </row>
    <row r="28" spans="1:14" ht="17.25">
      <c r="A28" s="36" t="s">
        <v>30</v>
      </c>
      <c r="B28" s="38" t="s">
        <v>43</v>
      </c>
      <c r="C28" s="36"/>
      <c r="D28" s="7">
        <v>8.4000000000000005E-2</v>
      </c>
      <c r="E28" s="15">
        <v>720.73299999999995</v>
      </c>
      <c r="F28" s="15">
        <v>53.121000000000002</v>
      </c>
      <c r="G28" s="15">
        <v>25.724</v>
      </c>
      <c r="H28" s="15">
        <v>13.565</v>
      </c>
      <c r="I28" s="15">
        <v>8.5129999999999999</v>
      </c>
      <c r="J28" s="7">
        <v>2.86</v>
      </c>
      <c r="K28" s="7">
        <v>1.7729999999999999</v>
      </c>
      <c r="L28" s="8">
        <v>0.313</v>
      </c>
      <c r="M28" s="6">
        <v>826.68600000000004</v>
      </c>
      <c r="N28" s="9"/>
    </row>
    <row r="29" spans="1:14" ht="17.25">
      <c r="A29" s="36" t="s">
        <v>31</v>
      </c>
      <c r="B29" s="38" t="s">
        <v>43</v>
      </c>
      <c r="C29" s="36"/>
      <c r="D29" s="7">
        <v>2E-3</v>
      </c>
      <c r="E29" s="15">
        <v>39.270000000000003</v>
      </c>
      <c r="F29" s="15">
        <v>11.698</v>
      </c>
      <c r="G29" s="15">
        <v>3.7549999999999999</v>
      </c>
      <c r="H29" s="15">
        <v>1.3560000000000001</v>
      </c>
      <c r="I29" s="15">
        <v>0.39700000000000002</v>
      </c>
      <c r="J29" s="7">
        <v>3.9E-2</v>
      </c>
      <c r="K29" s="7">
        <v>8.9999999999999993E-3</v>
      </c>
      <c r="L29" s="8">
        <v>8.0000000000000002E-3</v>
      </c>
      <c r="M29" s="6">
        <v>56.533999999999999</v>
      </c>
      <c r="N29" s="9"/>
    </row>
    <row r="30" spans="1:14" ht="17.25">
      <c r="A30" s="36" t="s">
        <v>32</v>
      </c>
      <c r="B30" s="38" t="s">
        <v>43</v>
      </c>
      <c r="C30" s="36"/>
      <c r="D30" s="19" t="s">
        <v>2</v>
      </c>
      <c r="E30" s="15">
        <v>10.324</v>
      </c>
      <c r="F30" s="15">
        <v>3.1349999999999998</v>
      </c>
      <c r="G30" s="15">
        <v>1.556</v>
      </c>
      <c r="H30" s="15">
        <v>1.0129999999999999</v>
      </c>
      <c r="I30" s="15">
        <v>0.94299999999999995</v>
      </c>
      <c r="J30" s="7">
        <v>0.54800000000000004</v>
      </c>
      <c r="K30" s="7">
        <v>0.70399999999999996</v>
      </c>
      <c r="L30" s="8">
        <v>0.38900000000000001</v>
      </c>
      <c r="M30" s="6">
        <v>18.611999999999998</v>
      </c>
      <c r="N30" s="9"/>
    </row>
    <row r="31" spans="1:14" ht="17.25">
      <c r="A31" s="36" t="s">
        <v>33</v>
      </c>
      <c r="B31" s="38" t="s">
        <v>43</v>
      </c>
      <c r="C31" s="36"/>
      <c r="D31" s="19" t="s">
        <v>2</v>
      </c>
      <c r="E31" s="15">
        <v>10.397</v>
      </c>
      <c r="F31" s="15">
        <v>13.131</v>
      </c>
      <c r="G31" s="15">
        <v>10.601000000000001</v>
      </c>
      <c r="H31" s="15">
        <v>8.7140000000000004</v>
      </c>
      <c r="I31" s="15">
        <v>5.6769999999999996</v>
      </c>
      <c r="J31" s="7">
        <v>0.98899999999999999</v>
      </c>
      <c r="K31" s="7">
        <v>0.218</v>
      </c>
      <c r="L31" s="8">
        <v>7.0000000000000001E-3</v>
      </c>
      <c r="M31" s="6">
        <v>49.734000000000002</v>
      </c>
      <c r="N31" s="9"/>
    </row>
    <row r="32" spans="1:14" ht="17.25">
      <c r="A32" s="36" t="s">
        <v>34</v>
      </c>
      <c r="B32" s="38" t="s">
        <v>43</v>
      </c>
      <c r="C32" s="36"/>
      <c r="D32" s="7">
        <v>2E-3</v>
      </c>
      <c r="E32" s="15">
        <v>19.044</v>
      </c>
      <c r="F32" s="15">
        <v>13.851000000000001</v>
      </c>
      <c r="G32" s="15">
        <v>7.7859999999999996</v>
      </c>
      <c r="H32" s="15">
        <v>6.7039999999999997</v>
      </c>
      <c r="I32" s="15">
        <v>6.6829999999999998</v>
      </c>
      <c r="J32" s="7">
        <v>2.286</v>
      </c>
      <c r="K32" s="7">
        <v>0.64800000000000002</v>
      </c>
      <c r="L32" s="8">
        <v>1.9E-2</v>
      </c>
      <c r="M32" s="6">
        <v>57.023000000000003</v>
      </c>
      <c r="N32" s="9"/>
    </row>
    <row r="33" spans="1:17" ht="17.25">
      <c r="A33" s="36" t="s">
        <v>35</v>
      </c>
      <c r="B33" s="38" t="s">
        <v>43</v>
      </c>
      <c r="C33" s="36"/>
      <c r="D33" s="7">
        <v>5.0999999999999997E-2</v>
      </c>
      <c r="E33" s="15">
        <v>15.429</v>
      </c>
      <c r="F33" s="15">
        <v>28.135999999999999</v>
      </c>
      <c r="G33" s="15">
        <v>25.125</v>
      </c>
      <c r="H33" s="15">
        <v>28.795999999999999</v>
      </c>
      <c r="I33" s="15">
        <v>30.395</v>
      </c>
      <c r="J33" s="7">
        <v>10.723000000000001</v>
      </c>
      <c r="K33" s="7">
        <v>4.1859999999999999</v>
      </c>
      <c r="L33" s="8">
        <v>0.33800000000000002</v>
      </c>
      <c r="M33" s="6">
        <v>143.179</v>
      </c>
      <c r="N33" s="9"/>
    </row>
    <row r="34" spans="1:17" ht="17.25">
      <c r="A34" s="40" t="s">
        <v>6</v>
      </c>
      <c r="B34" s="38" t="s">
        <v>43</v>
      </c>
      <c r="C34" s="40"/>
      <c r="D34" s="13">
        <v>2.1850000000000001</v>
      </c>
      <c r="E34" s="12">
        <v>3637.9279999999999</v>
      </c>
      <c r="F34" s="12">
        <v>1078.68</v>
      </c>
      <c r="G34" s="12">
        <v>620.76099999999997</v>
      </c>
      <c r="H34" s="12">
        <v>467.74</v>
      </c>
      <c r="I34" s="12">
        <v>372.02100000000002</v>
      </c>
      <c r="J34" s="13">
        <v>88.846999999999994</v>
      </c>
      <c r="K34" s="13">
        <v>28.477</v>
      </c>
      <c r="L34" s="13">
        <v>4.47</v>
      </c>
      <c r="M34" s="39">
        <v>6301.1080000000002</v>
      </c>
      <c r="N34" s="9"/>
    </row>
    <row r="35" spans="1:17" ht="17.25">
      <c r="A35" s="20" t="s">
        <v>52</v>
      </c>
      <c r="B35" s="20"/>
      <c r="C35" s="20"/>
      <c r="D35" s="20"/>
      <c r="E35" s="20"/>
      <c r="F35" s="20"/>
      <c r="G35" s="20"/>
      <c r="H35" s="20"/>
      <c r="I35" s="20"/>
      <c r="J35" s="20"/>
      <c r="K35" s="21"/>
      <c r="L35" s="20"/>
      <c r="M35" s="20"/>
      <c r="O35" s="16"/>
    </row>
    <row r="36" spans="1:17" s="53" customFormat="1" ht="39.75" customHeight="1">
      <c r="A36" s="44" t="s">
        <v>5</v>
      </c>
      <c r="B36" s="49" t="s">
        <v>39</v>
      </c>
      <c r="C36" s="49" t="s">
        <v>40</v>
      </c>
      <c r="D36" s="50" t="s">
        <v>36</v>
      </c>
      <c r="E36" s="51" t="s">
        <v>44</v>
      </c>
      <c r="F36" s="51" t="s">
        <v>49</v>
      </c>
      <c r="G36" s="51" t="s">
        <v>50</v>
      </c>
      <c r="H36" s="51" t="s">
        <v>51</v>
      </c>
      <c r="I36" s="51" t="s">
        <v>48</v>
      </c>
      <c r="J36" s="51" t="s">
        <v>47</v>
      </c>
      <c r="K36" s="51" t="s">
        <v>46</v>
      </c>
      <c r="L36" s="51" t="s">
        <v>45</v>
      </c>
      <c r="M36" s="52" t="s">
        <v>37</v>
      </c>
    </row>
    <row r="37" spans="1:17" ht="17.25">
      <c r="A37" s="36" t="s">
        <v>8</v>
      </c>
      <c r="B37" s="38" t="s">
        <v>41</v>
      </c>
      <c r="C37" s="36"/>
      <c r="D37" s="23">
        <v>0.09</v>
      </c>
      <c r="E37" s="23">
        <v>16.43</v>
      </c>
      <c r="F37" s="23">
        <v>17.97</v>
      </c>
      <c r="G37" s="23">
        <v>17.579999999999998</v>
      </c>
      <c r="H37" s="23" t="s">
        <v>3</v>
      </c>
      <c r="I37" s="23">
        <v>20.56</v>
      </c>
      <c r="J37" s="24">
        <v>3.46</v>
      </c>
      <c r="K37" s="24">
        <v>0.32</v>
      </c>
      <c r="L37" s="24">
        <v>0</v>
      </c>
      <c r="M37" s="45">
        <v>99.98</v>
      </c>
      <c r="N37" s="25"/>
      <c r="O37" s="26"/>
      <c r="P37" s="6"/>
      <c r="Q37" s="27"/>
    </row>
    <row r="38" spans="1:17" ht="17.25">
      <c r="A38" s="36" t="s">
        <v>9</v>
      </c>
      <c r="B38" s="38" t="s">
        <v>41</v>
      </c>
      <c r="C38" s="36"/>
      <c r="D38" s="23">
        <v>0</v>
      </c>
      <c r="E38" s="23">
        <v>45.7</v>
      </c>
      <c r="F38" s="23">
        <v>20.16</v>
      </c>
      <c r="G38" s="23">
        <v>14.9</v>
      </c>
      <c r="H38" s="23">
        <v>9.1300000000000008</v>
      </c>
      <c r="I38" s="23">
        <v>5.34</v>
      </c>
      <c r="J38" s="24">
        <v>2.31</v>
      </c>
      <c r="K38" s="24">
        <v>2.1</v>
      </c>
      <c r="L38" s="24">
        <v>0.34</v>
      </c>
      <c r="M38" s="45">
        <f t="shared" ref="M38:M65" si="0">SUM(D38:L38)</f>
        <v>99.98</v>
      </c>
      <c r="N38" s="25"/>
      <c r="O38" s="27"/>
      <c r="P38" s="28"/>
    </row>
    <row r="39" spans="1:17" ht="17.25">
      <c r="A39" s="36" t="s">
        <v>10</v>
      </c>
      <c r="B39" s="38" t="s">
        <v>41</v>
      </c>
      <c r="C39" s="36"/>
      <c r="D39" s="23">
        <v>0</v>
      </c>
      <c r="E39" s="23">
        <v>36.69</v>
      </c>
      <c r="F39" s="23">
        <v>20.5</v>
      </c>
      <c r="G39" s="23">
        <v>13.09</v>
      </c>
      <c r="H39" s="23">
        <v>10.61</v>
      </c>
      <c r="I39" s="23">
        <v>9.01</v>
      </c>
      <c r="J39" s="24">
        <v>3.54</v>
      </c>
      <c r="K39" s="24">
        <v>4.33</v>
      </c>
      <c r="L39" s="24">
        <v>2.23</v>
      </c>
      <c r="M39" s="45">
        <f t="shared" si="0"/>
        <v>100.00000000000001</v>
      </c>
      <c r="N39" s="25"/>
      <c r="O39" s="27"/>
      <c r="P39" s="28"/>
    </row>
    <row r="40" spans="1:17" ht="17.25">
      <c r="A40" s="36" t="s">
        <v>11</v>
      </c>
      <c r="B40" s="38" t="s">
        <v>41</v>
      </c>
      <c r="C40" s="36"/>
      <c r="D40" s="23">
        <v>0.04</v>
      </c>
      <c r="E40" s="23">
        <v>28.630000000000003</v>
      </c>
      <c r="F40" s="23">
        <v>20.71</v>
      </c>
      <c r="G40" s="23">
        <v>12.69</v>
      </c>
      <c r="H40" s="23">
        <v>11.26</v>
      </c>
      <c r="I40" s="23">
        <v>13.51</v>
      </c>
      <c r="J40" s="24">
        <v>8.5299999999999994</v>
      </c>
      <c r="K40" s="24">
        <v>4.37</v>
      </c>
      <c r="L40" s="24">
        <v>0.26</v>
      </c>
      <c r="M40" s="45">
        <f t="shared" si="0"/>
        <v>100.00000000000001</v>
      </c>
      <c r="N40" s="25"/>
      <c r="O40" s="27"/>
    </row>
    <row r="41" spans="1:17" s="31" customFormat="1" ht="17.25">
      <c r="A41" s="37" t="s">
        <v>12</v>
      </c>
      <c r="B41" s="38" t="s">
        <v>41</v>
      </c>
      <c r="C41" s="37"/>
      <c r="D41" s="29">
        <v>0</v>
      </c>
      <c r="E41" s="29">
        <v>25.2</v>
      </c>
      <c r="F41" s="29">
        <v>19.899999999999999</v>
      </c>
      <c r="G41" s="29">
        <v>16.670000000000002</v>
      </c>
      <c r="H41" s="29">
        <v>18.149999999999999</v>
      </c>
      <c r="I41" s="29">
        <v>15.34</v>
      </c>
      <c r="J41" s="30">
        <v>3.02</v>
      </c>
      <c r="K41" s="30">
        <v>1.3399999999999999</v>
      </c>
      <c r="L41" s="30">
        <v>0.38</v>
      </c>
      <c r="M41" s="46">
        <f t="shared" si="0"/>
        <v>99.999999999999986</v>
      </c>
      <c r="N41" s="25"/>
      <c r="O41" s="27"/>
    </row>
    <row r="42" spans="1:17" ht="17.25">
      <c r="A42" s="36" t="s">
        <v>13</v>
      </c>
      <c r="B42" s="38" t="s">
        <v>41</v>
      </c>
      <c r="C42" s="36"/>
      <c r="D42" s="23" t="s">
        <v>2</v>
      </c>
      <c r="E42" s="23">
        <v>59.400000000000006</v>
      </c>
      <c r="F42" s="23">
        <v>16.28</v>
      </c>
      <c r="G42" s="23">
        <v>8.1199999999999992</v>
      </c>
      <c r="H42" s="23">
        <v>6.25</v>
      </c>
      <c r="I42" s="23">
        <v>5.89</v>
      </c>
      <c r="J42" s="24">
        <v>2.36</v>
      </c>
      <c r="K42" s="24">
        <v>1.51</v>
      </c>
      <c r="L42" s="24">
        <v>0.19</v>
      </c>
      <c r="M42" s="45">
        <f t="shared" si="0"/>
        <v>100.00000000000001</v>
      </c>
      <c r="N42" s="25"/>
      <c r="O42" s="27"/>
    </row>
    <row r="43" spans="1:17" ht="17.25">
      <c r="A43" s="36" t="s">
        <v>14</v>
      </c>
      <c r="B43" s="38" t="s">
        <v>41</v>
      </c>
      <c r="C43" s="36"/>
      <c r="D43" s="23">
        <v>0.01</v>
      </c>
      <c r="E43" s="23">
        <v>13.620000000000001</v>
      </c>
      <c r="F43" s="23">
        <v>27.33</v>
      </c>
      <c r="G43" s="23">
        <v>27.33</v>
      </c>
      <c r="H43" s="23">
        <v>20.399999999999999</v>
      </c>
      <c r="I43" s="23">
        <v>10.029999999999999</v>
      </c>
      <c r="J43" s="24">
        <v>1.1399999999999999</v>
      </c>
      <c r="K43" s="24">
        <v>0.15</v>
      </c>
      <c r="L43" s="23" t="s">
        <v>2</v>
      </c>
      <c r="M43" s="45">
        <f t="shared" si="0"/>
        <v>100.01</v>
      </c>
      <c r="N43" s="25"/>
      <c r="O43" s="27"/>
    </row>
    <row r="44" spans="1:17" ht="17.25">
      <c r="A44" s="36" t="s">
        <v>15</v>
      </c>
      <c r="B44" s="38" t="s">
        <v>41</v>
      </c>
      <c r="C44" s="36"/>
      <c r="D44" s="23">
        <v>0</v>
      </c>
      <c r="E44" s="23">
        <v>60.14</v>
      </c>
      <c r="F44" s="23">
        <v>22.12</v>
      </c>
      <c r="G44" s="23">
        <v>10.63</v>
      </c>
      <c r="H44" s="23">
        <v>5.27</v>
      </c>
      <c r="I44" s="23">
        <v>1.68</v>
      </c>
      <c r="J44" s="24">
        <v>0.14000000000000001</v>
      </c>
      <c r="K44" s="24">
        <v>0.01</v>
      </c>
      <c r="L44" s="23" t="s">
        <v>2</v>
      </c>
      <c r="M44" s="45">
        <f t="shared" si="0"/>
        <v>99.990000000000009</v>
      </c>
      <c r="N44" s="25"/>
      <c r="O44" s="27"/>
    </row>
    <row r="45" spans="1:17" ht="17.25">
      <c r="A45" s="36" t="s">
        <v>16</v>
      </c>
      <c r="B45" s="38" t="s">
        <v>41</v>
      </c>
      <c r="C45" s="36"/>
      <c r="D45" s="23">
        <v>0.02</v>
      </c>
      <c r="E45" s="23">
        <v>47.92</v>
      </c>
      <c r="F45" s="23">
        <v>20.6</v>
      </c>
      <c r="G45" s="23">
        <v>11.95</v>
      </c>
      <c r="H45" s="23">
        <v>9.75</v>
      </c>
      <c r="I45" s="23">
        <v>7.6</v>
      </c>
      <c r="J45" s="24">
        <v>1.61</v>
      </c>
      <c r="K45" s="24">
        <v>0.5</v>
      </c>
      <c r="L45" s="24">
        <v>0.04</v>
      </c>
      <c r="M45" s="45">
        <f t="shared" si="0"/>
        <v>99.990000000000009</v>
      </c>
      <c r="N45" s="25"/>
      <c r="O45" s="27"/>
    </row>
    <row r="46" spans="1:17" ht="17.25">
      <c r="A46" s="36" t="s">
        <v>17</v>
      </c>
      <c r="B46" s="38" t="s">
        <v>41</v>
      </c>
      <c r="C46" s="36"/>
      <c r="D46" s="23">
        <v>0.16</v>
      </c>
      <c r="E46" s="23">
        <v>16.57</v>
      </c>
      <c r="F46" s="23">
        <v>10.199999999999999</v>
      </c>
      <c r="G46" s="23">
        <v>10.5</v>
      </c>
      <c r="H46" s="23">
        <v>20.11</v>
      </c>
      <c r="I46" s="23">
        <v>33.82</v>
      </c>
      <c r="J46" s="24">
        <v>7.89</v>
      </c>
      <c r="K46" s="24">
        <v>0.7</v>
      </c>
      <c r="L46" s="24">
        <v>0.04</v>
      </c>
      <c r="M46" s="45">
        <f t="shared" si="0"/>
        <v>99.990000000000009</v>
      </c>
      <c r="N46" s="25"/>
      <c r="O46" s="27"/>
    </row>
    <row r="47" spans="1:17" ht="17.25">
      <c r="A47" s="36" t="s">
        <v>18</v>
      </c>
      <c r="B47" s="38" t="s">
        <v>41</v>
      </c>
      <c r="C47" s="36"/>
      <c r="D47" s="23">
        <v>0</v>
      </c>
      <c r="E47" s="23">
        <v>77.16</v>
      </c>
      <c r="F47" s="23">
        <v>12.75</v>
      </c>
      <c r="G47" s="23">
        <v>5.38</v>
      </c>
      <c r="H47" s="23">
        <v>3.14</v>
      </c>
      <c r="I47" s="23">
        <v>1.27</v>
      </c>
      <c r="J47" s="24">
        <v>0.17</v>
      </c>
      <c r="K47" s="24">
        <v>0.09</v>
      </c>
      <c r="L47" s="24">
        <v>0.02</v>
      </c>
      <c r="M47" s="45">
        <f t="shared" si="0"/>
        <v>99.97999999999999</v>
      </c>
      <c r="N47" s="25"/>
      <c r="O47" s="27"/>
    </row>
    <row r="48" spans="1:17" ht="17.25">
      <c r="A48" s="36" t="s">
        <v>19</v>
      </c>
      <c r="B48" s="38" t="s">
        <v>41</v>
      </c>
      <c r="C48" s="36"/>
      <c r="D48" s="23">
        <v>0.09</v>
      </c>
      <c r="E48" s="23">
        <v>63.28</v>
      </c>
      <c r="F48" s="23">
        <v>17.95</v>
      </c>
      <c r="G48" s="23">
        <v>8.84</v>
      </c>
      <c r="H48" s="23">
        <v>5.52</v>
      </c>
      <c r="I48" s="23">
        <v>3.19</v>
      </c>
      <c r="J48" s="24">
        <v>0.82</v>
      </c>
      <c r="K48" s="24">
        <v>0.29000000000000004</v>
      </c>
      <c r="L48" s="24">
        <v>0.03</v>
      </c>
      <c r="M48" s="45">
        <f t="shared" si="0"/>
        <v>100.01</v>
      </c>
      <c r="N48" s="25"/>
      <c r="O48" s="27"/>
    </row>
    <row r="49" spans="1:20" ht="17.25">
      <c r="A49" s="36" t="s">
        <v>20</v>
      </c>
      <c r="B49" s="38" t="s">
        <v>41</v>
      </c>
      <c r="C49" s="36"/>
      <c r="D49" s="23">
        <v>0.41</v>
      </c>
      <c r="E49" s="23">
        <v>85.910000000000011</v>
      </c>
      <c r="F49" s="23">
        <v>8.26</v>
      </c>
      <c r="G49" s="23">
        <v>2.79</v>
      </c>
      <c r="H49" s="23">
        <v>1.61</v>
      </c>
      <c r="I49" s="23">
        <v>0.84</v>
      </c>
      <c r="J49" s="24">
        <v>0.14000000000000001</v>
      </c>
      <c r="K49" s="24">
        <v>0.04</v>
      </c>
      <c r="L49" s="23" t="s">
        <v>2</v>
      </c>
      <c r="M49" s="45">
        <f t="shared" si="0"/>
        <v>100.00000000000003</v>
      </c>
      <c r="N49" s="25"/>
      <c r="O49" s="27"/>
    </row>
    <row r="50" spans="1:20" ht="17.25">
      <c r="A50" s="36" t="s">
        <v>21</v>
      </c>
      <c r="B50" s="38" t="s">
        <v>41</v>
      </c>
      <c r="C50" s="36"/>
      <c r="D50" s="23" t="s">
        <v>2</v>
      </c>
      <c r="E50" s="23">
        <v>72.849999999999994</v>
      </c>
      <c r="F50" s="23">
        <v>13.2</v>
      </c>
      <c r="G50" s="23">
        <v>5.87</v>
      </c>
      <c r="H50" s="23">
        <v>3.9</v>
      </c>
      <c r="I50" s="23">
        <v>2.77</v>
      </c>
      <c r="J50" s="24">
        <v>0.93</v>
      </c>
      <c r="K50" s="24">
        <v>0.42</v>
      </c>
      <c r="L50" s="24">
        <v>0.06</v>
      </c>
      <c r="M50" s="45">
        <f t="shared" si="0"/>
        <v>100.00000000000001</v>
      </c>
      <c r="N50" s="25"/>
      <c r="O50" s="27"/>
      <c r="T50" s="27"/>
    </row>
    <row r="51" spans="1:20" ht="17.25">
      <c r="A51" s="36" t="s">
        <v>22</v>
      </c>
      <c r="B51" s="38" t="s">
        <v>41</v>
      </c>
      <c r="C51" s="36"/>
      <c r="D51" s="23">
        <v>0.02</v>
      </c>
      <c r="E51" s="23">
        <v>69</v>
      </c>
      <c r="F51" s="23">
        <v>15.92</v>
      </c>
      <c r="G51" s="23">
        <v>7.07</v>
      </c>
      <c r="H51" s="23">
        <v>4.7</v>
      </c>
      <c r="I51" s="23">
        <v>2.5499999999999998</v>
      </c>
      <c r="J51" s="24">
        <v>0.51</v>
      </c>
      <c r="K51" s="24">
        <v>0.2</v>
      </c>
      <c r="L51" s="24">
        <v>0.04</v>
      </c>
      <c r="M51" s="45">
        <f t="shared" si="0"/>
        <v>100.01</v>
      </c>
      <c r="N51" s="25"/>
      <c r="O51" s="27"/>
    </row>
    <row r="52" spans="1:20" ht="17.25">
      <c r="A52" s="36" t="s">
        <v>23</v>
      </c>
      <c r="B52" s="38" t="s">
        <v>41</v>
      </c>
      <c r="C52" s="36"/>
      <c r="D52" s="23" t="s">
        <v>2</v>
      </c>
      <c r="E52" s="23">
        <v>16.509999999999998</v>
      </c>
      <c r="F52" s="23">
        <v>10.82</v>
      </c>
      <c r="G52" s="23">
        <v>11.22</v>
      </c>
      <c r="H52" s="23">
        <v>21.18</v>
      </c>
      <c r="I52" s="23">
        <v>34.68</v>
      </c>
      <c r="J52" s="24">
        <v>5.13</v>
      </c>
      <c r="K52" s="24">
        <v>0.46</v>
      </c>
      <c r="L52" s="23" t="s">
        <v>2</v>
      </c>
      <c r="M52" s="45">
        <f t="shared" si="0"/>
        <v>99.999999999999986</v>
      </c>
      <c r="N52" s="25"/>
      <c r="O52" s="27"/>
    </row>
    <row r="53" spans="1:20" ht="17.25">
      <c r="A53" s="36" t="s">
        <v>24</v>
      </c>
      <c r="B53" s="38" t="s">
        <v>41</v>
      </c>
      <c r="C53" s="36"/>
      <c r="D53" s="23">
        <v>0.05</v>
      </c>
      <c r="E53" s="23">
        <v>58.510000000000005</v>
      </c>
      <c r="F53" s="23">
        <v>19.579999999999998</v>
      </c>
      <c r="G53" s="23">
        <v>8.82</v>
      </c>
      <c r="H53" s="23">
        <v>5.76</v>
      </c>
      <c r="I53" s="23">
        <v>4.6500000000000004</v>
      </c>
      <c r="J53" s="24">
        <v>1.6</v>
      </c>
      <c r="K53" s="24">
        <v>0.85000000000000009</v>
      </c>
      <c r="L53" s="24">
        <v>0.18</v>
      </c>
      <c r="M53" s="45">
        <f t="shared" si="0"/>
        <v>100.00000000000001</v>
      </c>
      <c r="N53" s="25"/>
      <c r="O53" s="27"/>
      <c r="P53" s="28"/>
    </row>
    <row r="54" spans="1:20" ht="17.25">
      <c r="A54" s="36" t="s">
        <v>25</v>
      </c>
      <c r="B54" s="38" t="s">
        <v>41</v>
      </c>
      <c r="C54" s="36"/>
      <c r="D54" s="23" t="s">
        <v>2</v>
      </c>
      <c r="E54" s="23">
        <v>93.96</v>
      </c>
      <c r="F54" s="23">
        <v>2.84</v>
      </c>
      <c r="G54" s="23">
        <v>1.26</v>
      </c>
      <c r="H54" s="23">
        <v>0.99</v>
      </c>
      <c r="I54" s="23">
        <v>0.85</v>
      </c>
      <c r="J54" s="24">
        <v>0.1</v>
      </c>
      <c r="K54" s="23" t="s">
        <v>2</v>
      </c>
      <c r="L54" s="23" t="s">
        <v>2</v>
      </c>
      <c r="M54" s="45">
        <f t="shared" si="0"/>
        <v>99.999999999999986</v>
      </c>
      <c r="N54" s="25"/>
      <c r="O54" s="27"/>
      <c r="P54" s="28"/>
    </row>
    <row r="55" spans="1:20" ht="17.25">
      <c r="A55" s="36" t="s">
        <v>26</v>
      </c>
      <c r="B55" s="38" t="s">
        <v>41</v>
      </c>
      <c r="C55" s="36"/>
      <c r="D55" s="23" t="s">
        <v>2</v>
      </c>
      <c r="E55" s="23">
        <v>9.5500000000000007</v>
      </c>
      <c r="F55" s="23">
        <v>18.8</v>
      </c>
      <c r="G55" s="23">
        <v>18.52</v>
      </c>
      <c r="H55" s="23">
        <v>27.02</v>
      </c>
      <c r="I55" s="23">
        <v>22.92</v>
      </c>
      <c r="J55" s="24">
        <v>2.76</v>
      </c>
      <c r="K55" s="24">
        <v>0.42000000000000004</v>
      </c>
      <c r="L55" s="24">
        <v>0.01</v>
      </c>
      <c r="M55" s="45">
        <f t="shared" si="0"/>
        <v>100.00000000000001</v>
      </c>
      <c r="N55" s="25"/>
      <c r="O55" s="27"/>
      <c r="P55" s="28"/>
    </row>
    <row r="56" spans="1:20" ht="17.25">
      <c r="A56" s="36" t="s">
        <v>27</v>
      </c>
      <c r="B56" s="38" t="s">
        <v>41</v>
      </c>
      <c r="C56" s="36"/>
      <c r="D56" s="23">
        <v>0.01</v>
      </c>
      <c r="E56" s="23">
        <v>28.119999999999997</v>
      </c>
      <c r="F56" s="23">
        <v>28.77</v>
      </c>
      <c r="G56" s="23">
        <v>23.67</v>
      </c>
      <c r="H56" s="23">
        <v>15.02</v>
      </c>
      <c r="I56" s="23">
        <v>4</v>
      </c>
      <c r="J56" s="24">
        <v>0.33</v>
      </c>
      <c r="K56" s="24">
        <v>6.0000000000000005E-2</v>
      </c>
      <c r="L56" s="24">
        <v>0</v>
      </c>
      <c r="M56" s="45">
        <f t="shared" si="0"/>
        <v>99.97999999999999</v>
      </c>
      <c r="N56" s="25"/>
      <c r="O56" s="27"/>
      <c r="P56" s="28"/>
    </row>
    <row r="57" spans="1:20" ht="17.25">
      <c r="A57" s="36" t="s">
        <v>28</v>
      </c>
      <c r="B57" s="38" t="s">
        <v>41</v>
      </c>
      <c r="C57" s="36"/>
      <c r="D57" s="23">
        <v>0.02</v>
      </c>
      <c r="E57" s="23">
        <v>69.23</v>
      </c>
      <c r="F57" s="23">
        <v>18.309999999999999</v>
      </c>
      <c r="G57" s="23">
        <v>8.33</v>
      </c>
      <c r="H57" s="23">
        <v>3.08</v>
      </c>
      <c r="I57" s="23">
        <v>0.79</v>
      </c>
      <c r="J57" s="24">
        <v>0.16</v>
      </c>
      <c r="K57" s="24">
        <v>6.9999999999999993E-2</v>
      </c>
      <c r="L57" s="24">
        <v>0.01</v>
      </c>
      <c r="M57" s="45">
        <f t="shared" si="0"/>
        <v>100</v>
      </c>
      <c r="N57" s="25"/>
      <c r="O57" s="27"/>
    </row>
    <row r="58" spans="1:20" ht="17.25">
      <c r="A58" s="36" t="s">
        <v>29</v>
      </c>
      <c r="B58" s="38" t="s">
        <v>41</v>
      </c>
      <c r="C58" s="36"/>
      <c r="D58" s="23">
        <v>0.05</v>
      </c>
      <c r="E58" s="23">
        <v>75.760000000000005</v>
      </c>
      <c r="F58" s="23">
        <v>11.11</v>
      </c>
      <c r="G58" s="23">
        <v>5.25</v>
      </c>
      <c r="H58" s="23">
        <v>3.94</v>
      </c>
      <c r="I58" s="23">
        <v>2.5499999999999998</v>
      </c>
      <c r="J58" s="24">
        <v>0.91</v>
      </c>
      <c r="K58" s="24">
        <v>0.39999999999999997</v>
      </c>
      <c r="L58" s="24">
        <v>0.01</v>
      </c>
      <c r="M58" s="45">
        <f t="shared" si="0"/>
        <v>99.98</v>
      </c>
      <c r="N58" s="25"/>
      <c r="O58" s="27"/>
      <c r="P58" s="28"/>
    </row>
    <row r="59" spans="1:20" ht="17.25">
      <c r="A59" s="36" t="s">
        <v>30</v>
      </c>
      <c r="B59" s="38" t="s">
        <v>41</v>
      </c>
      <c r="C59" s="36"/>
      <c r="D59" s="23">
        <v>0.01</v>
      </c>
      <c r="E59" s="23">
        <v>87.179999999999993</v>
      </c>
      <c r="F59" s="23">
        <v>6.43</v>
      </c>
      <c r="G59" s="23">
        <v>3.11</v>
      </c>
      <c r="H59" s="23">
        <v>1.64</v>
      </c>
      <c r="I59" s="23">
        <v>1.03</v>
      </c>
      <c r="J59" s="24">
        <v>0.35</v>
      </c>
      <c r="K59" s="24">
        <v>0.21999999999999997</v>
      </c>
      <c r="L59" s="24">
        <v>0.03</v>
      </c>
      <c r="M59" s="45">
        <f t="shared" si="0"/>
        <v>100</v>
      </c>
      <c r="N59" s="25"/>
      <c r="O59" s="27"/>
      <c r="P59" s="28"/>
    </row>
    <row r="60" spans="1:20" ht="17.25">
      <c r="A60" s="36" t="s">
        <v>31</v>
      </c>
      <c r="B60" s="38" t="s">
        <v>41</v>
      </c>
      <c r="C60" s="36"/>
      <c r="D60" s="23">
        <v>0</v>
      </c>
      <c r="E60" s="23">
        <v>69.460000000000008</v>
      </c>
      <c r="F60" s="23">
        <v>20.69</v>
      </c>
      <c r="G60" s="23">
        <v>6.64</v>
      </c>
      <c r="H60" s="23">
        <v>2.4</v>
      </c>
      <c r="I60" s="23">
        <v>0.7</v>
      </c>
      <c r="J60" s="24">
        <v>7.0000000000000007E-2</v>
      </c>
      <c r="K60" s="24">
        <v>0.01</v>
      </c>
      <c r="L60" s="24">
        <v>0.02</v>
      </c>
      <c r="M60" s="45">
        <f t="shared" si="0"/>
        <v>99.990000000000009</v>
      </c>
      <c r="N60" s="25"/>
      <c r="O60" s="27"/>
      <c r="P60" s="28"/>
    </row>
    <row r="61" spans="1:20" ht="17.25">
      <c r="A61" s="36" t="s">
        <v>32</v>
      </c>
      <c r="B61" s="38" t="s">
        <v>41</v>
      </c>
      <c r="C61" s="36"/>
      <c r="D61" s="23" t="s">
        <v>2</v>
      </c>
      <c r="E61" s="23">
        <v>55.47</v>
      </c>
      <c r="F61" s="23">
        <v>16.84</v>
      </c>
      <c r="G61" s="23">
        <v>8.36</v>
      </c>
      <c r="H61" s="23">
        <v>5.44</v>
      </c>
      <c r="I61" s="23">
        <v>5.07</v>
      </c>
      <c r="J61" s="24">
        <v>2.94</v>
      </c>
      <c r="K61" s="24">
        <v>3.7700000000000005</v>
      </c>
      <c r="L61" s="24">
        <v>2.09</v>
      </c>
      <c r="M61" s="45">
        <f t="shared" si="0"/>
        <v>99.98</v>
      </c>
      <c r="N61" s="25"/>
      <c r="O61" s="27"/>
      <c r="P61" s="28"/>
    </row>
    <row r="62" spans="1:20" ht="17.25">
      <c r="A62" s="36" t="s">
        <v>33</v>
      </c>
      <c r="B62" s="38" t="s">
        <v>41</v>
      </c>
      <c r="C62" s="36"/>
      <c r="D62" s="23" t="s">
        <v>2</v>
      </c>
      <c r="E62" s="23">
        <v>20.9</v>
      </c>
      <c r="F62" s="23">
        <v>26.4</v>
      </c>
      <c r="G62" s="23">
        <v>21.32</v>
      </c>
      <c r="H62" s="23">
        <v>17.52</v>
      </c>
      <c r="I62" s="23">
        <v>11.41</v>
      </c>
      <c r="J62" s="24">
        <v>1.99</v>
      </c>
      <c r="K62" s="24">
        <v>0.44</v>
      </c>
      <c r="L62" s="24">
        <v>0.01</v>
      </c>
      <c r="M62" s="45">
        <f t="shared" si="0"/>
        <v>99.99</v>
      </c>
      <c r="N62" s="25"/>
      <c r="O62" s="27"/>
    </row>
    <row r="63" spans="1:20" ht="17.25">
      <c r="A63" s="36" t="s">
        <v>34</v>
      </c>
      <c r="B63" s="38" t="s">
        <v>41</v>
      </c>
      <c r="C63" s="36"/>
      <c r="D63" s="23">
        <v>0</v>
      </c>
      <c r="E63" s="23">
        <v>33.400000000000006</v>
      </c>
      <c r="F63" s="23">
        <v>24.29</v>
      </c>
      <c r="G63" s="23">
        <v>13.65</v>
      </c>
      <c r="H63" s="23">
        <v>11.76</v>
      </c>
      <c r="I63" s="23">
        <v>11.72</v>
      </c>
      <c r="J63" s="24">
        <v>4.01</v>
      </c>
      <c r="K63" s="24">
        <v>1.1400000000000001</v>
      </c>
      <c r="L63" s="24">
        <v>0.04</v>
      </c>
      <c r="M63" s="45">
        <f t="shared" si="0"/>
        <v>100.01000000000002</v>
      </c>
      <c r="N63" s="25"/>
      <c r="O63" s="27"/>
    </row>
    <row r="64" spans="1:20" ht="17.25">
      <c r="A64" s="36" t="s">
        <v>35</v>
      </c>
      <c r="B64" s="38" t="s">
        <v>41</v>
      </c>
      <c r="C64" s="36"/>
      <c r="D64" s="23">
        <v>0.04</v>
      </c>
      <c r="E64" s="23">
        <v>10.780000000000001</v>
      </c>
      <c r="F64" s="23">
        <v>19.649999999999999</v>
      </c>
      <c r="G64" s="23">
        <v>17.55</v>
      </c>
      <c r="H64" s="23">
        <v>20.11</v>
      </c>
      <c r="I64" s="23">
        <v>21.23</v>
      </c>
      <c r="J64" s="24">
        <v>7.49</v>
      </c>
      <c r="K64" s="24">
        <v>2.93</v>
      </c>
      <c r="L64" s="24">
        <v>0.24</v>
      </c>
      <c r="M64" s="45">
        <f t="shared" si="0"/>
        <v>100.02</v>
      </c>
      <c r="N64" s="25"/>
      <c r="O64" s="27"/>
    </row>
    <row r="65" spans="1:15" ht="17.25">
      <c r="A65" s="37" t="s">
        <v>6</v>
      </c>
      <c r="B65" s="38" t="s">
        <v>41</v>
      </c>
      <c r="C65" s="37"/>
      <c r="D65" s="29">
        <v>0.03</v>
      </c>
      <c r="E65" s="29">
        <v>57.730000000000004</v>
      </c>
      <c r="F65" s="29">
        <v>17.12</v>
      </c>
      <c r="G65" s="29">
        <v>9.85</v>
      </c>
      <c r="H65" s="29">
        <v>7.42</v>
      </c>
      <c r="I65" s="29">
        <v>5.9</v>
      </c>
      <c r="J65" s="30">
        <v>1.41</v>
      </c>
      <c r="K65" s="30">
        <v>0.44999999999999996</v>
      </c>
      <c r="L65" s="30">
        <v>7.0000000000000007E-2</v>
      </c>
      <c r="M65" s="46">
        <f t="shared" si="0"/>
        <v>99.98</v>
      </c>
      <c r="N65" s="27"/>
      <c r="O65" s="27"/>
    </row>
    <row r="66" spans="1:15" ht="17.25">
      <c r="A66" s="32" t="s">
        <v>68</v>
      </c>
      <c r="B66" s="32"/>
      <c r="C66" s="32"/>
      <c r="D66" s="17"/>
      <c r="E66" s="17"/>
      <c r="F66" s="17"/>
      <c r="G66" s="17"/>
      <c r="H66" s="17"/>
      <c r="I66" s="17"/>
      <c r="J66" s="17"/>
      <c r="K66" s="17"/>
      <c r="L66" s="17"/>
      <c r="M66" s="34"/>
    </row>
    <row r="67" spans="1:15" ht="17.25">
      <c r="A67" s="32" t="s">
        <v>7</v>
      </c>
      <c r="B67" s="32"/>
      <c r="C67" s="32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5" s="17" customFormat="1">
      <c r="A68" s="33" t="s">
        <v>0</v>
      </c>
      <c r="B68" s="33"/>
      <c r="C68" s="33"/>
    </row>
  </sheetData>
  <pageMargins left="1.5748031496062993" right="1.6535433070866143" top="0.59055118110236227" bottom="2.2834645669291338" header="0.51181102362204722" footer="0.51181102362204722"/>
  <pageSetup paperSize="9" scale="97" orientation="portrait" r:id="rId1"/>
  <headerFooter alignWithMargins="0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8"/>
  <sheetViews>
    <sheetView zoomScaleNormal="100" workbookViewId="0"/>
  </sheetViews>
  <sheetFormatPr baseColWidth="10" defaultColWidth="9.140625" defaultRowHeight="16.5"/>
  <cols>
    <col min="1" max="1" width="16.85546875" style="4" customWidth="1"/>
    <col min="2" max="2" width="12.140625" style="4" customWidth="1"/>
    <col min="3" max="3" width="8.7109375" style="4" customWidth="1"/>
    <col min="4" max="4" width="21.140625" style="18" customWidth="1"/>
    <col min="5" max="13" width="21.140625" style="4" customWidth="1"/>
    <col min="14" max="16384" width="9.140625" style="4"/>
  </cols>
  <sheetData>
    <row r="1" spans="1:16" ht="17.25">
      <c r="A1" s="35" t="s">
        <v>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ht="17.25">
      <c r="A2" s="20" t="s">
        <v>55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16"/>
    </row>
    <row r="3" spans="1:16">
      <c r="A3" s="20" t="s">
        <v>4</v>
      </c>
      <c r="B3" s="20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6">
      <c r="A4" s="20" t="s">
        <v>53</v>
      </c>
      <c r="B4" s="20"/>
      <c r="C4" s="20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6" ht="39.75" customHeight="1">
      <c r="A5" s="44" t="s">
        <v>5</v>
      </c>
      <c r="B5" s="47" t="s">
        <v>39</v>
      </c>
      <c r="C5" s="47" t="s">
        <v>40</v>
      </c>
      <c r="D5" s="41" t="s">
        <v>36</v>
      </c>
      <c r="E5" s="42" t="s">
        <v>44</v>
      </c>
      <c r="F5" s="42" t="s">
        <v>49</v>
      </c>
      <c r="G5" s="42" t="s">
        <v>50</v>
      </c>
      <c r="H5" s="42" t="s">
        <v>51</v>
      </c>
      <c r="I5" s="42" t="s">
        <v>48</v>
      </c>
      <c r="J5" s="42" t="s">
        <v>47</v>
      </c>
      <c r="K5" s="42" t="s">
        <v>46</v>
      </c>
      <c r="L5" s="42" t="s">
        <v>45</v>
      </c>
      <c r="M5" s="43" t="s">
        <v>37</v>
      </c>
    </row>
    <row r="6" spans="1:16" ht="17.25">
      <c r="A6" s="36" t="s">
        <v>8</v>
      </c>
      <c r="B6" s="38" t="s">
        <v>43</v>
      </c>
      <c r="C6" s="36"/>
      <c r="D6" s="5">
        <v>7.0000000000000001E-3</v>
      </c>
      <c r="E6" s="6">
        <v>5.83</v>
      </c>
      <c r="F6" s="6">
        <v>5.8760000000000003</v>
      </c>
      <c r="G6" s="6">
        <v>5.76</v>
      </c>
      <c r="H6" s="6">
        <v>8.0109999999999992</v>
      </c>
      <c r="I6" s="6">
        <v>7.2629999999999999</v>
      </c>
      <c r="J6" s="7">
        <v>1.2270000000000001</v>
      </c>
      <c r="K6" s="7">
        <v>0.11700000000000001</v>
      </c>
      <c r="L6" s="8">
        <v>2E-3</v>
      </c>
      <c r="M6" s="6">
        <f t="shared" ref="M6:M33" si="0">SUM(D6:L6)</f>
        <v>34.092999999999996</v>
      </c>
      <c r="N6" s="9"/>
      <c r="O6" s="1"/>
      <c r="P6" s="6"/>
    </row>
    <row r="7" spans="1:16" ht="17.25">
      <c r="A7" s="36" t="s">
        <v>9</v>
      </c>
      <c r="B7" s="38" t="s">
        <v>43</v>
      </c>
      <c r="C7" s="36"/>
      <c r="D7" s="5">
        <v>4.0000000000000001E-3</v>
      </c>
      <c r="E7" s="6">
        <v>32.555999999999997</v>
      </c>
      <c r="F7" s="6">
        <v>13.423</v>
      </c>
      <c r="G7" s="6">
        <v>9.5459999999999994</v>
      </c>
      <c r="H7" s="6">
        <v>5.77</v>
      </c>
      <c r="I7" s="6">
        <v>3.468</v>
      </c>
      <c r="J7" s="7">
        <v>1.4970000000000001</v>
      </c>
      <c r="K7" s="7">
        <v>1.401</v>
      </c>
      <c r="L7" s="8">
        <v>0.22500000000000001</v>
      </c>
      <c r="M7" s="6">
        <f t="shared" si="0"/>
        <v>67.889999999999986</v>
      </c>
      <c r="N7" s="9"/>
      <c r="O7" s="1"/>
    </row>
    <row r="8" spans="1:16" ht="17.25">
      <c r="A8" s="36" t="s">
        <v>10</v>
      </c>
      <c r="B8" s="38" t="s">
        <v>43</v>
      </c>
      <c r="C8" s="36"/>
      <c r="D8" s="10" t="s">
        <v>2</v>
      </c>
      <c r="E8" s="6">
        <v>11.454000000000001</v>
      </c>
      <c r="F8" s="6">
        <v>6.1589999999999998</v>
      </c>
      <c r="G8" s="6">
        <v>3.758</v>
      </c>
      <c r="H8" s="6">
        <v>2.9729999999999999</v>
      </c>
      <c r="I8" s="6">
        <v>2.5390000000000001</v>
      </c>
      <c r="J8" s="7">
        <v>1.0549999999999999</v>
      </c>
      <c r="K8" s="7">
        <v>1.2829999999999999</v>
      </c>
      <c r="L8" s="8">
        <v>0.66700000000000004</v>
      </c>
      <c r="M8" s="6">
        <f t="shared" si="0"/>
        <v>29.888000000000002</v>
      </c>
      <c r="N8" s="9"/>
      <c r="O8" s="1"/>
    </row>
    <row r="9" spans="1:16" ht="17.25">
      <c r="A9" s="36" t="s">
        <v>11</v>
      </c>
      <c r="B9" s="38" t="s">
        <v>43</v>
      </c>
      <c r="C9" s="36"/>
      <c r="D9" s="5">
        <v>1.2999999999999999E-2</v>
      </c>
      <c r="E9" s="6">
        <v>10.845000000000001</v>
      </c>
      <c r="F9" s="6">
        <v>8.0210000000000008</v>
      </c>
      <c r="G9" s="6">
        <v>5.03</v>
      </c>
      <c r="H9" s="6">
        <v>4.3840000000000003</v>
      </c>
      <c r="I9" s="6">
        <v>5.3479999999999999</v>
      </c>
      <c r="J9" s="7">
        <v>3.319</v>
      </c>
      <c r="K9" s="7">
        <v>1.641</v>
      </c>
      <c r="L9" s="8">
        <v>8.7999999999999995E-2</v>
      </c>
      <c r="M9" s="6">
        <f t="shared" si="0"/>
        <v>38.689000000000007</v>
      </c>
      <c r="N9" s="9"/>
      <c r="O9" s="1"/>
    </row>
    <row r="10" spans="1:16" ht="17.25">
      <c r="A10" s="37" t="s">
        <v>12</v>
      </c>
      <c r="B10" s="38" t="s">
        <v>43</v>
      </c>
      <c r="C10" s="37"/>
      <c r="D10" s="11">
        <v>2.8000000000000001E-2</v>
      </c>
      <c r="E10" s="12">
        <v>78.623000000000005</v>
      </c>
      <c r="F10" s="12">
        <v>62.220999999999997</v>
      </c>
      <c r="G10" s="12">
        <v>53.17</v>
      </c>
      <c r="H10" s="12">
        <v>57.673000000000002</v>
      </c>
      <c r="I10" s="12">
        <v>47.881999999999998</v>
      </c>
      <c r="J10" s="13">
        <v>9.1950000000000003</v>
      </c>
      <c r="K10" s="13">
        <v>4.1369999999999996</v>
      </c>
      <c r="L10" s="14">
        <v>1.194</v>
      </c>
      <c r="M10" s="39">
        <f t="shared" si="0"/>
        <v>314.12300000000005</v>
      </c>
      <c r="N10" s="9"/>
      <c r="O10" s="2"/>
    </row>
    <row r="11" spans="1:16" ht="17.25">
      <c r="A11" s="36" t="s">
        <v>13</v>
      </c>
      <c r="B11" s="38" t="s">
        <v>43</v>
      </c>
      <c r="C11" s="36"/>
      <c r="D11" s="19" t="s">
        <v>2</v>
      </c>
      <c r="E11" s="15">
        <v>9.3379999999999992</v>
      </c>
      <c r="F11" s="15">
        <v>2.2869999999999999</v>
      </c>
      <c r="G11" s="15">
        <v>1.155</v>
      </c>
      <c r="H11" s="15">
        <v>0.86199999999999999</v>
      </c>
      <c r="I11" s="15">
        <v>0.80400000000000005</v>
      </c>
      <c r="J11" s="7">
        <v>0.33600000000000002</v>
      </c>
      <c r="K11" s="7">
        <v>0.19700000000000001</v>
      </c>
      <c r="L11" s="8">
        <v>1.7999999999999999E-2</v>
      </c>
      <c r="M11" s="6">
        <f t="shared" si="0"/>
        <v>14.997</v>
      </c>
      <c r="N11" s="9"/>
      <c r="O11" s="1"/>
    </row>
    <row r="12" spans="1:16" ht="17.25">
      <c r="A12" s="36" t="s">
        <v>14</v>
      </c>
      <c r="B12" s="38" t="s">
        <v>43</v>
      </c>
      <c r="C12" s="36"/>
      <c r="D12" s="7">
        <v>1.1339999999999999</v>
      </c>
      <c r="E12" s="15">
        <v>18.402000000000001</v>
      </c>
      <c r="F12" s="15">
        <v>33.838000000000001</v>
      </c>
      <c r="G12" s="15">
        <v>32.996000000000002</v>
      </c>
      <c r="H12" s="15">
        <v>24.888000000000002</v>
      </c>
      <c r="I12" s="15">
        <v>12.36</v>
      </c>
      <c r="J12" s="7">
        <v>1.409</v>
      </c>
      <c r="K12" s="7">
        <v>0.20799999999999999</v>
      </c>
      <c r="L12" s="8">
        <v>1E-3</v>
      </c>
      <c r="M12" s="6">
        <f t="shared" si="0"/>
        <v>125.23600000000002</v>
      </c>
      <c r="N12" s="9"/>
      <c r="O12" s="1"/>
    </row>
    <row r="13" spans="1:16" ht="17.25">
      <c r="A13" s="36" t="s">
        <v>15</v>
      </c>
      <c r="B13" s="38" t="s">
        <v>43</v>
      </c>
      <c r="C13" s="36"/>
      <c r="D13" s="7">
        <v>2.4E-2</v>
      </c>
      <c r="E13" s="15">
        <v>367.238</v>
      </c>
      <c r="F13" s="15">
        <v>137.852</v>
      </c>
      <c r="G13" s="15">
        <v>66.793000000000006</v>
      </c>
      <c r="H13" s="15">
        <v>32.649000000000001</v>
      </c>
      <c r="I13" s="15">
        <v>10.621</v>
      </c>
      <c r="J13" s="7">
        <v>0.92200000000000004</v>
      </c>
      <c r="K13" s="7">
        <v>9.6000000000000002E-2</v>
      </c>
      <c r="L13" s="8">
        <v>1E-3</v>
      </c>
      <c r="M13" s="6">
        <f t="shared" si="0"/>
        <v>616.19600000000003</v>
      </c>
      <c r="N13" s="9"/>
      <c r="O13" s="3"/>
    </row>
    <row r="14" spans="1:16" ht="17.25">
      <c r="A14" s="36" t="s">
        <v>16</v>
      </c>
      <c r="B14" s="38" t="s">
        <v>43</v>
      </c>
      <c r="C14" s="36"/>
      <c r="D14" s="7">
        <v>0.47199999999999998</v>
      </c>
      <c r="E14" s="15">
        <v>326.666</v>
      </c>
      <c r="F14" s="15">
        <v>138.255</v>
      </c>
      <c r="G14" s="15">
        <v>80.397000000000006</v>
      </c>
      <c r="H14" s="15">
        <v>65.075000000000003</v>
      </c>
      <c r="I14" s="15">
        <v>49.338000000000001</v>
      </c>
      <c r="J14" s="7">
        <v>10.43</v>
      </c>
      <c r="K14" s="7">
        <v>3.26</v>
      </c>
      <c r="L14" s="8">
        <v>0.312</v>
      </c>
      <c r="M14" s="6">
        <f t="shared" si="0"/>
        <v>674.20499999999993</v>
      </c>
      <c r="N14" s="9"/>
      <c r="O14" s="3"/>
    </row>
    <row r="15" spans="1:16" ht="17.25">
      <c r="A15" s="36" t="s">
        <v>17</v>
      </c>
      <c r="B15" s="38" t="s">
        <v>43</v>
      </c>
      <c r="C15" s="36"/>
      <c r="D15" s="7">
        <v>1.4590000000000001</v>
      </c>
      <c r="E15" s="15">
        <v>56.972000000000001</v>
      </c>
      <c r="F15" s="15">
        <v>33.47</v>
      </c>
      <c r="G15" s="15">
        <v>34.267000000000003</v>
      </c>
      <c r="H15" s="15">
        <v>64.393000000000001</v>
      </c>
      <c r="I15" s="15">
        <v>112.42400000000001</v>
      </c>
      <c r="J15" s="7">
        <v>27.863</v>
      </c>
      <c r="K15" s="7">
        <v>2.5579999999999998</v>
      </c>
      <c r="L15" s="8">
        <v>0.11600000000000001</v>
      </c>
      <c r="M15" s="6">
        <f t="shared" si="0"/>
        <v>333.52199999999999</v>
      </c>
      <c r="N15" s="9"/>
      <c r="O15" s="3"/>
    </row>
    <row r="16" spans="1:16" ht="17.25">
      <c r="A16" s="36" t="s">
        <v>18</v>
      </c>
      <c r="B16" s="38" t="s">
        <v>43</v>
      </c>
      <c r="C16" s="36"/>
      <c r="D16" s="7">
        <v>2.5999999999999999E-2</v>
      </c>
      <c r="E16" s="15">
        <v>81.992999999999995</v>
      </c>
      <c r="F16" s="15">
        <v>11.472</v>
      </c>
      <c r="G16" s="15">
        <v>5.1130000000000004</v>
      </c>
      <c r="H16" s="15">
        <v>2.7360000000000002</v>
      </c>
      <c r="I16" s="15">
        <v>1.0209999999999999</v>
      </c>
      <c r="J16" s="7">
        <v>0.13900000000000001</v>
      </c>
      <c r="K16" s="7">
        <v>7.0000000000000007E-2</v>
      </c>
      <c r="L16" s="8">
        <v>2.5999999999999999E-2</v>
      </c>
      <c r="M16" s="6">
        <f t="shared" si="0"/>
        <v>102.59599999999998</v>
      </c>
      <c r="N16" s="9"/>
      <c r="O16" s="3"/>
    </row>
    <row r="17" spans="1:15" ht="17.25">
      <c r="A17" s="36" t="s">
        <v>19</v>
      </c>
      <c r="B17" s="38" t="s">
        <v>43</v>
      </c>
      <c r="C17" s="36"/>
      <c r="D17" s="7">
        <v>1.427</v>
      </c>
      <c r="E17" s="15">
        <v>508.49</v>
      </c>
      <c r="F17" s="15">
        <v>143.34899999999999</v>
      </c>
      <c r="G17" s="15">
        <v>69.98</v>
      </c>
      <c r="H17" s="15">
        <v>42.298999999999999</v>
      </c>
      <c r="I17" s="15">
        <v>24.738</v>
      </c>
      <c r="J17" s="7">
        <v>6.6470000000000002</v>
      </c>
      <c r="K17" s="7">
        <v>2.5179999999999998</v>
      </c>
      <c r="L17" s="8">
        <v>0.25900000000000001</v>
      </c>
      <c r="M17" s="6">
        <f t="shared" si="0"/>
        <v>799.70700000000022</v>
      </c>
      <c r="N17" s="9"/>
      <c r="O17" s="1"/>
    </row>
    <row r="18" spans="1:15" ht="17.25">
      <c r="A18" s="36" t="s">
        <v>20</v>
      </c>
      <c r="B18" s="38" t="s">
        <v>43</v>
      </c>
      <c r="C18" s="36"/>
      <c r="D18" s="7">
        <v>0</v>
      </c>
      <c r="E18" s="15">
        <v>28.420999999999999</v>
      </c>
      <c r="F18" s="15">
        <v>2.7240000000000002</v>
      </c>
      <c r="G18" s="15">
        <v>0.89100000000000001</v>
      </c>
      <c r="H18" s="15">
        <v>0.53500000000000003</v>
      </c>
      <c r="I18" s="15">
        <v>0.28599999999999998</v>
      </c>
      <c r="J18" s="7">
        <v>4.4999999999999998E-2</v>
      </c>
      <c r="K18" s="7">
        <v>1.2999999999999999E-2</v>
      </c>
      <c r="L18" s="48" t="s">
        <v>2</v>
      </c>
      <c r="M18" s="6">
        <f t="shared" si="0"/>
        <v>32.914999999999999</v>
      </c>
      <c r="N18" s="9"/>
      <c r="O18" s="1"/>
    </row>
    <row r="19" spans="1:15" ht="17.25">
      <c r="A19" s="36" t="s">
        <v>21</v>
      </c>
      <c r="B19" s="38" t="s">
        <v>43</v>
      </c>
      <c r="C19" s="36"/>
      <c r="D19" s="19" t="s">
        <v>2</v>
      </c>
      <c r="E19" s="15">
        <v>43.755000000000003</v>
      </c>
      <c r="F19" s="15">
        <v>7.2880000000000003</v>
      </c>
      <c r="G19" s="15">
        <v>3.1739999999999999</v>
      </c>
      <c r="H19" s="15">
        <v>2.1349999999999998</v>
      </c>
      <c r="I19" s="15">
        <v>1.393</v>
      </c>
      <c r="J19" s="7">
        <v>0.47099999999999997</v>
      </c>
      <c r="K19" s="7">
        <v>0.22700000000000001</v>
      </c>
      <c r="L19" s="8">
        <v>2.1999999999999999E-2</v>
      </c>
      <c r="M19" s="6">
        <f t="shared" si="0"/>
        <v>58.464999999999996</v>
      </c>
      <c r="N19" s="9"/>
      <c r="O19" s="1"/>
    </row>
    <row r="20" spans="1:15" ht="17.25">
      <c r="A20" s="36" t="s">
        <v>22</v>
      </c>
      <c r="B20" s="38" t="s">
        <v>43</v>
      </c>
      <c r="C20" s="36"/>
      <c r="D20" s="7">
        <v>6.5000000000000002E-2</v>
      </c>
      <c r="E20" s="15">
        <v>88.992000000000004</v>
      </c>
      <c r="F20" s="15">
        <v>20.233000000000001</v>
      </c>
      <c r="G20" s="15">
        <v>8.9260000000000002</v>
      </c>
      <c r="H20" s="15">
        <v>5.81</v>
      </c>
      <c r="I20" s="15">
        <v>3.0680000000000001</v>
      </c>
      <c r="J20" s="7">
        <v>0.61799999999999999</v>
      </c>
      <c r="K20" s="7">
        <v>0.23300000000000001</v>
      </c>
      <c r="L20" s="8">
        <v>3.9E-2</v>
      </c>
      <c r="M20" s="6">
        <f t="shared" si="0"/>
        <v>127.98400000000001</v>
      </c>
      <c r="N20" s="9"/>
      <c r="O20" s="1"/>
    </row>
    <row r="21" spans="1:15" ht="17.25">
      <c r="A21" s="36" t="s">
        <v>23</v>
      </c>
      <c r="B21" s="38" t="s">
        <v>43</v>
      </c>
      <c r="C21" s="36"/>
      <c r="D21" s="19" t="s">
        <v>2</v>
      </c>
      <c r="E21" s="15">
        <v>0.253</v>
      </c>
      <c r="F21" s="15">
        <v>0.21099999999999999</v>
      </c>
      <c r="G21" s="15">
        <v>0.2</v>
      </c>
      <c r="H21" s="15">
        <v>0.378</v>
      </c>
      <c r="I21" s="15">
        <v>0.61299999999999999</v>
      </c>
      <c r="J21" s="7">
        <v>8.7999999999999995E-2</v>
      </c>
      <c r="K21" s="7">
        <v>8.0000000000000002E-3</v>
      </c>
      <c r="L21" s="19" t="s">
        <v>2</v>
      </c>
      <c r="M21" s="6">
        <f t="shared" si="0"/>
        <v>1.7509999999999999</v>
      </c>
      <c r="N21" s="9"/>
      <c r="O21" s="1"/>
    </row>
    <row r="22" spans="1:15" ht="17.25">
      <c r="A22" s="36" t="s">
        <v>24</v>
      </c>
      <c r="B22" s="38" t="s">
        <v>43</v>
      </c>
      <c r="C22" s="36"/>
      <c r="D22" s="7">
        <v>0.11700000000000001</v>
      </c>
      <c r="E22" s="15">
        <v>101.93899999999999</v>
      </c>
      <c r="F22" s="15">
        <v>34.311999999999998</v>
      </c>
      <c r="G22" s="15">
        <v>15.183</v>
      </c>
      <c r="H22" s="15">
        <v>9.8780000000000001</v>
      </c>
      <c r="I22" s="15">
        <v>7.89</v>
      </c>
      <c r="J22" s="7">
        <v>2.7519999999999998</v>
      </c>
      <c r="K22" s="7">
        <v>1.4339999999999999</v>
      </c>
      <c r="L22" s="8">
        <v>0.34</v>
      </c>
      <c r="M22" s="6">
        <f t="shared" si="0"/>
        <v>173.84499999999997</v>
      </c>
      <c r="N22" s="9"/>
      <c r="O22" s="1"/>
    </row>
    <row r="23" spans="1:15" ht="17.25">
      <c r="A23" s="36" t="s">
        <v>25</v>
      </c>
      <c r="B23" s="38" t="s">
        <v>43</v>
      </c>
      <c r="C23" s="36"/>
      <c r="D23" s="19" t="s">
        <v>2</v>
      </c>
      <c r="E23" s="15">
        <v>4.8840000000000003</v>
      </c>
      <c r="F23" s="15">
        <v>0.159</v>
      </c>
      <c r="G23" s="15">
        <v>6.4000000000000001E-2</v>
      </c>
      <c r="H23" s="15">
        <v>5.8000000000000003E-2</v>
      </c>
      <c r="I23" s="15">
        <v>3.6999999999999998E-2</v>
      </c>
      <c r="J23" s="7">
        <v>5.0000000000000001E-3</v>
      </c>
      <c r="K23" s="7">
        <v>0</v>
      </c>
      <c r="L23" s="19" t="s">
        <v>2</v>
      </c>
      <c r="M23" s="6">
        <f t="shared" si="0"/>
        <v>5.2069999999999999</v>
      </c>
      <c r="N23" s="9"/>
      <c r="O23" s="1"/>
    </row>
    <row r="24" spans="1:15" ht="17.25">
      <c r="A24" s="36" t="s">
        <v>26</v>
      </c>
      <c r="B24" s="38" t="s">
        <v>43</v>
      </c>
      <c r="C24" s="36"/>
      <c r="D24" s="19">
        <v>1E-3</v>
      </c>
      <c r="E24" s="15">
        <v>4.508</v>
      </c>
      <c r="F24" s="15">
        <v>8.3030000000000008</v>
      </c>
      <c r="G24" s="15">
        <v>7.7089999999999996</v>
      </c>
      <c r="H24" s="15">
        <v>11.705</v>
      </c>
      <c r="I24" s="15">
        <v>11.196</v>
      </c>
      <c r="J24" s="7">
        <v>1.4430000000000001</v>
      </c>
      <c r="K24" s="7">
        <v>0.23300000000000001</v>
      </c>
      <c r="L24" s="8">
        <v>8.0000000000000002E-3</v>
      </c>
      <c r="M24" s="6">
        <f t="shared" si="0"/>
        <v>45.105999999999995</v>
      </c>
      <c r="N24" s="9"/>
      <c r="O24" s="1"/>
    </row>
    <row r="25" spans="1:15" ht="17.25">
      <c r="A25" s="36" t="s">
        <v>27</v>
      </c>
      <c r="B25" s="38" t="s">
        <v>43</v>
      </c>
      <c r="C25" s="36"/>
      <c r="D25" s="7">
        <v>6.0000000000000001E-3</v>
      </c>
      <c r="E25" s="15">
        <v>32.014000000000003</v>
      </c>
      <c r="F25" s="15">
        <v>30.254999999999999</v>
      </c>
      <c r="G25" s="15">
        <v>24.774999999999999</v>
      </c>
      <c r="H25" s="15">
        <v>15.75</v>
      </c>
      <c r="I25" s="15">
        <v>4.5350000000000001</v>
      </c>
      <c r="J25" s="7">
        <v>0.33800000000000002</v>
      </c>
      <c r="K25" s="7">
        <v>7.9000000000000001E-2</v>
      </c>
      <c r="L25" s="8">
        <v>6.0000000000000001E-3</v>
      </c>
      <c r="M25" s="6">
        <f t="shared" si="0"/>
        <v>107.758</v>
      </c>
      <c r="N25" s="9"/>
      <c r="O25" s="1"/>
    </row>
    <row r="26" spans="1:15" ht="17.25">
      <c r="A26" s="36" t="s">
        <v>28</v>
      </c>
      <c r="B26" s="38" t="s">
        <v>43</v>
      </c>
      <c r="C26" s="36"/>
      <c r="D26" s="7">
        <v>0.32300000000000001</v>
      </c>
      <c r="E26" s="15">
        <v>930.34</v>
      </c>
      <c r="F26" s="15">
        <v>247.42699999999999</v>
      </c>
      <c r="G26" s="15">
        <v>110.489</v>
      </c>
      <c r="H26" s="15">
        <v>38.220999999999997</v>
      </c>
      <c r="I26" s="15">
        <v>9.9369999999999994</v>
      </c>
      <c r="J26" s="7">
        <v>2.1349999999999998</v>
      </c>
      <c r="K26" s="7">
        <v>0.89300000000000002</v>
      </c>
      <c r="L26" s="8">
        <v>8.5000000000000006E-2</v>
      </c>
      <c r="M26" s="6">
        <f t="shared" si="0"/>
        <v>1339.85</v>
      </c>
      <c r="N26" s="9"/>
      <c r="O26" s="1"/>
    </row>
    <row r="27" spans="1:15" ht="17.25">
      <c r="A27" s="36" t="s">
        <v>29</v>
      </c>
      <c r="B27" s="38" t="s">
        <v>43</v>
      </c>
      <c r="C27" s="36"/>
      <c r="D27" s="7">
        <v>8.4000000000000005E-2</v>
      </c>
      <c r="E27" s="15">
        <v>130.36600000000001</v>
      </c>
      <c r="F27" s="15">
        <v>19.215</v>
      </c>
      <c r="G27" s="15">
        <v>9.1449999999999996</v>
      </c>
      <c r="H27" s="15">
        <v>6.5910000000000002</v>
      </c>
      <c r="I27" s="15">
        <v>4.2610000000000001</v>
      </c>
      <c r="J27" s="7">
        <v>1.5289999999999999</v>
      </c>
      <c r="K27" s="7">
        <v>0.68200000000000005</v>
      </c>
      <c r="L27" s="8">
        <v>2.9000000000000001E-2</v>
      </c>
      <c r="M27" s="6">
        <f t="shared" si="0"/>
        <v>171.90200000000002</v>
      </c>
      <c r="N27" s="9"/>
      <c r="O27" s="1"/>
    </row>
    <row r="28" spans="1:15" ht="17.25">
      <c r="A28" s="36" t="s">
        <v>30</v>
      </c>
      <c r="B28" s="38" t="s">
        <v>43</v>
      </c>
      <c r="C28" s="36"/>
      <c r="D28" s="7">
        <v>2.9000000000000001E-2</v>
      </c>
      <c r="E28" s="15">
        <v>739.55200000000002</v>
      </c>
      <c r="F28" s="15">
        <v>46.174999999999997</v>
      </c>
      <c r="G28" s="15">
        <v>23.321999999999999</v>
      </c>
      <c r="H28" s="15">
        <v>12.433999999999999</v>
      </c>
      <c r="I28" s="15">
        <v>8.2989999999999995</v>
      </c>
      <c r="J28" s="7">
        <v>2.7160000000000002</v>
      </c>
      <c r="K28" s="7">
        <v>1.7889999999999999</v>
      </c>
      <c r="L28" s="8">
        <v>0.30299999999999999</v>
      </c>
      <c r="M28" s="6">
        <f t="shared" si="0"/>
        <v>834.61899999999991</v>
      </c>
      <c r="N28" s="9"/>
      <c r="O28" s="1"/>
    </row>
    <row r="29" spans="1:15" ht="17.25">
      <c r="A29" s="36" t="s">
        <v>31</v>
      </c>
      <c r="B29" s="38" t="s">
        <v>43</v>
      </c>
      <c r="C29" s="36"/>
      <c r="D29" s="7">
        <v>0.33700000000000002</v>
      </c>
      <c r="E29" s="15">
        <v>38.973999999999997</v>
      </c>
      <c r="F29" s="15">
        <v>11.760999999999999</v>
      </c>
      <c r="G29" s="15">
        <v>3.8370000000000002</v>
      </c>
      <c r="H29" s="15">
        <v>1.343</v>
      </c>
      <c r="I29" s="15">
        <v>0.40899999999999997</v>
      </c>
      <c r="J29" s="7">
        <v>3.5000000000000003E-2</v>
      </c>
      <c r="K29" s="7">
        <v>0.01</v>
      </c>
      <c r="L29" s="8">
        <v>8.9999999999999993E-3</v>
      </c>
      <c r="M29" s="6">
        <f t="shared" si="0"/>
        <v>56.715000000000003</v>
      </c>
      <c r="N29" s="9"/>
      <c r="O29" s="1"/>
    </row>
    <row r="30" spans="1:15" ht="17.25">
      <c r="A30" s="36" t="s">
        <v>32</v>
      </c>
      <c r="B30" s="38" t="s">
        <v>43</v>
      </c>
      <c r="C30" s="36"/>
      <c r="D30" s="19" t="s">
        <v>2</v>
      </c>
      <c r="E30" s="15">
        <v>10.708</v>
      </c>
      <c r="F30" s="15">
        <v>3.081</v>
      </c>
      <c r="G30" s="15">
        <v>1.492</v>
      </c>
      <c r="H30" s="15">
        <v>0.96799999999999997</v>
      </c>
      <c r="I30" s="15">
        <v>0.92700000000000005</v>
      </c>
      <c r="J30" s="7">
        <v>0.52800000000000002</v>
      </c>
      <c r="K30" s="7">
        <v>0.66300000000000003</v>
      </c>
      <c r="L30" s="8">
        <v>0.4</v>
      </c>
      <c r="M30" s="6">
        <f t="shared" si="0"/>
        <v>18.766999999999996</v>
      </c>
      <c r="N30" s="9"/>
      <c r="O30" s="1"/>
    </row>
    <row r="31" spans="1:15" ht="17.25">
      <c r="A31" s="36" t="s">
        <v>33</v>
      </c>
      <c r="B31" s="38" t="s">
        <v>43</v>
      </c>
      <c r="C31" s="36"/>
      <c r="D31" s="19">
        <v>2E-3</v>
      </c>
      <c r="E31" s="15">
        <v>10.465999999999999</v>
      </c>
      <c r="F31" s="15">
        <v>13.456</v>
      </c>
      <c r="G31" s="15">
        <v>10.923</v>
      </c>
      <c r="H31" s="15">
        <v>9.0009999999999994</v>
      </c>
      <c r="I31" s="15">
        <v>5.6349999999999998</v>
      </c>
      <c r="J31" s="7">
        <v>0.94199999999999995</v>
      </c>
      <c r="K31" s="7">
        <v>0.20899999999999999</v>
      </c>
      <c r="L31" s="8">
        <v>4.0000000000000001E-3</v>
      </c>
      <c r="M31" s="6">
        <f t="shared" si="0"/>
        <v>50.637999999999998</v>
      </c>
      <c r="N31" s="9"/>
      <c r="O31" s="1"/>
    </row>
    <row r="32" spans="1:15" ht="17.25">
      <c r="A32" s="36" t="s">
        <v>34</v>
      </c>
      <c r="B32" s="38" t="s">
        <v>43</v>
      </c>
      <c r="C32" s="36"/>
      <c r="D32" s="7">
        <v>1.7999999999999999E-2</v>
      </c>
      <c r="E32" s="15">
        <v>20.388000000000002</v>
      </c>
      <c r="F32" s="15">
        <v>13.666</v>
      </c>
      <c r="G32" s="15">
        <v>7.7220000000000004</v>
      </c>
      <c r="H32" s="15">
        <v>6.7110000000000003</v>
      </c>
      <c r="I32" s="15">
        <v>6.7469999999999999</v>
      </c>
      <c r="J32" s="7">
        <v>2.2919999999999998</v>
      </c>
      <c r="K32" s="7">
        <v>0.64500000000000002</v>
      </c>
      <c r="L32" s="8">
        <v>0.02</v>
      </c>
      <c r="M32" s="6">
        <f t="shared" si="0"/>
        <v>58.20900000000001</v>
      </c>
      <c r="N32" s="9"/>
      <c r="O32" s="1"/>
    </row>
    <row r="33" spans="1:17" ht="17.25">
      <c r="A33" s="36" t="s">
        <v>35</v>
      </c>
      <c r="B33" s="38" t="s">
        <v>43</v>
      </c>
      <c r="C33" s="36"/>
      <c r="D33" s="7">
        <v>2.8000000000000001E-2</v>
      </c>
      <c r="E33" s="15">
        <v>15.17</v>
      </c>
      <c r="F33" s="15">
        <v>28.411000000000001</v>
      </c>
      <c r="G33" s="15">
        <v>25.145</v>
      </c>
      <c r="H33" s="15">
        <v>28.599</v>
      </c>
      <c r="I33" s="15">
        <v>30.504000000000001</v>
      </c>
      <c r="J33" s="7">
        <v>10.507999999999999</v>
      </c>
      <c r="K33" s="7">
        <v>4.0129999999999999</v>
      </c>
      <c r="L33" s="8">
        <v>0.30299999999999999</v>
      </c>
      <c r="M33" s="6">
        <f t="shared" si="0"/>
        <v>142.68100000000001</v>
      </c>
      <c r="N33" s="9"/>
      <c r="O33" s="1"/>
    </row>
    <row r="34" spans="1:17" ht="17.25">
      <c r="A34" s="40" t="s">
        <v>6</v>
      </c>
      <c r="B34" s="38" t="s">
        <v>43</v>
      </c>
      <c r="C34" s="40"/>
      <c r="D34" s="13">
        <v>5.6070000000000002</v>
      </c>
      <c r="E34" s="12">
        <v>3709.1370000000002</v>
      </c>
      <c r="F34" s="12">
        <v>1082.9000000000001</v>
      </c>
      <c r="G34" s="12">
        <v>620.96199999999999</v>
      </c>
      <c r="H34" s="12">
        <v>461.83</v>
      </c>
      <c r="I34" s="12">
        <v>373.54300000000001</v>
      </c>
      <c r="J34" s="13">
        <v>90.483999999999995</v>
      </c>
      <c r="K34" s="13">
        <v>28.617000000000001</v>
      </c>
      <c r="L34" s="13">
        <v>4.4770000000000003</v>
      </c>
      <c r="M34" s="39">
        <f>SUM(D34:L34)</f>
        <v>6377.5569999999998</v>
      </c>
      <c r="N34" s="9"/>
    </row>
    <row r="35" spans="1:17" ht="17.25">
      <c r="A35" s="20" t="s">
        <v>52</v>
      </c>
      <c r="B35" s="20"/>
      <c r="C35" s="20"/>
      <c r="D35" s="20"/>
      <c r="E35" s="20"/>
      <c r="F35" s="20"/>
      <c r="G35" s="20"/>
      <c r="H35" s="20"/>
      <c r="I35" s="20"/>
      <c r="J35" s="20"/>
      <c r="K35" s="21"/>
      <c r="L35" s="20"/>
      <c r="M35" s="20"/>
      <c r="O35" s="16"/>
    </row>
    <row r="36" spans="1:17" s="53" customFormat="1" ht="39.75" customHeight="1">
      <c r="A36" s="44" t="s">
        <v>5</v>
      </c>
      <c r="B36" s="49" t="s">
        <v>39</v>
      </c>
      <c r="C36" s="49" t="s">
        <v>40</v>
      </c>
      <c r="D36" s="50" t="s">
        <v>36</v>
      </c>
      <c r="E36" s="51" t="s">
        <v>44</v>
      </c>
      <c r="F36" s="51" t="s">
        <v>49</v>
      </c>
      <c r="G36" s="51" t="s">
        <v>50</v>
      </c>
      <c r="H36" s="51" t="s">
        <v>51</v>
      </c>
      <c r="I36" s="51" t="s">
        <v>48</v>
      </c>
      <c r="J36" s="51" t="s">
        <v>47</v>
      </c>
      <c r="K36" s="51" t="s">
        <v>46</v>
      </c>
      <c r="L36" s="51" t="s">
        <v>45</v>
      </c>
      <c r="M36" s="52" t="s">
        <v>37</v>
      </c>
    </row>
    <row r="37" spans="1:17" ht="17.25">
      <c r="A37" s="36" t="s">
        <v>8</v>
      </c>
      <c r="B37" s="38" t="s">
        <v>41</v>
      </c>
      <c r="C37" s="36"/>
      <c r="D37" s="23">
        <v>0.02</v>
      </c>
      <c r="E37" s="23">
        <v>17.11</v>
      </c>
      <c r="F37" s="23">
        <v>17.239999999999998</v>
      </c>
      <c r="G37" s="23">
        <v>16.89</v>
      </c>
      <c r="H37" s="23">
        <v>23.5</v>
      </c>
      <c r="I37" s="23">
        <v>21.3</v>
      </c>
      <c r="J37" s="24">
        <v>3.6</v>
      </c>
      <c r="K37" s="24">
        <v>0.34</v>
      </c>
      <c r="L37" s="24">
        <v>0</v>
      </c>
      <c r="M37" s="45">
        <f>SUM(D37:L37)</f>
        <v>99.999999999999986</v>
      </c>
      <c r="N37" s="25"/>
      <c r="O37" s="26"/>
      <c r="P37" s="6"/>
      <c r="Q37" s="27"/>
    </row>
    <row r="38" spans="1:17" ht="17.25">
      <c r="A38" s="36" t="s">
        <v>9</v>
      </c>
      <c r="B38" s="38" t="s">
        <v>41</v>
      </c>
      <c r="C38" s="36"/>
      <c r="D38" s="23">
        <v>0.01</v>
      </c>
      <c r="E38" s="23">
        <v>47.95</v>
      </c>
      <c r="F38" s="23">
        <v>19.77</v>
      </c>
      <c r="G38" s="23">
        <v>14.06</v>
      </c>
      <c r="H38" s="23">
        <v>8.5</v>
      </c>
      <c r="I38" s="23">
        <v>5.1100000000000003</v>
      </c>
      <c r="J38" s="24">
        <v>2.21</v>
      </c>
      <c r="K38" s="24">
        <v>2.0699999999999998</v>
      </c>
      <c r="L38" s="24">
        <v>0.33</v>
      </c>
      <c r="M38" s="45">
        <v>100</v>
      </c>
      <c r="N38" s="25"/>
      <c r="O38" s="27"/>
      <c r="P38" s="28"/>
    </row>
    <row r="39" spans="1:17" ht="17.25">
      <c r="A39" s="36" t="s">
        <v>10</v>
      </c>
      <c r="B39" s="38" t="s">
        <v>41</v>
      </c>
      <c r="C39" s="36"/>
      <c r="D39" s="23" t="s">
        <v>2</v>
      </c>
      <c r="E39" s="23">
        <v>38.32</v>
      </c>
      <c r="F39" s="23">
        <v>20.61</v>
      </c>
      <c r="G39" s="23">
        <v>12.57</v>
      </c>
      <c r="H39" s="23">
        <v>9.9499999999999993</v>
      </c>
      <c r="I39" s="23">
        <v>8.5</v>
      </c>
      <c r="J39" s="24">
        <v>3.53</v>
      </c>
      <c r="K39" s="24">
        <v>4.29</v>
      </c>
      <c r="L39" s="24">
        <v>2.23</v>
      </c>
      <c r="M39" s="45">
        <v>100</v>
      </c>
      <c r="N39" s="25"/>
      <c r="O39" s="27"/>
      <c r="P39" s="28"/>
    </row>
    <row r="40" spans="1:17" ht="17.25">
      <c r="A40" s="36" t="s">
        <v>11</v>
      </c>
      <c r="B40" s="38" t="s">
        <v>41</v>
      </c>
      <c r="C40" s="36"/>
      <c r="D40" s="23">
        <v>0.03</v>
      </c>
      <c r="E40" s="23">
        <v>28.04</v>
      </c>
      <c r="F40" s="23">
        <v>20.73</v>
      </c>
      <c r="G40" s="23">
        <v>13</v>
      </c>
      <c r="H40" s="23">
        <v>11.33</v>
      </c>
      <c r="I40" s="23">
        <v>13.82</v>
      </c>
      <c r="J40" s="24">
        <v>8.58</v>
      </c>
      <c r="K40" s="24">
        <v>4.24</v>
      </c>
      <c r="L40" s="24">
        <v>0.23</v>
      </c>
      <c r="M40" s="45">
        <v>100</v>
      </c>
      <c r="N40" s="25"/>
      <c r="O40" s="27"/>
    </row>
    <row r="41" spans="1:17" s="31" customFormat="1" ht="17.25">
      <c r="A41" s="37" t="s">
        <v>12</v>
      </c>
      <c r="B41" s="38" t="s">
        <v>41</v>
      </c>
      <c r="C41" s="37"/>
      <c r="D41" s="29">
        <v>0.01</v>
      </c>
      <c r="E41" s="29">
        <v>25.03</v>
      </c>
      <c r="F41" s="29">
        <v>19.809999999999999</v>
      </c>
      <c r="G41" s="29">
        <v>16.93</v>
      </c>
      <c r="H41" s="29">
        <v>18.36</v>
      </c>
      <c r="I41" s="29">
        <v>15.24</v>
      </c>
      <c r="J41" s="30">
        <v>2.93</v>
      </c>
      <c r="K41" s="30">
        <v>1.3099999999999998</v>
      </c>
      <c r="L41" s="30">
        <v>0.38</v>
      </c>
      <c r="M41" s="46">
        <v>100</v>
      </c>
      <c r="N41" s="25"/>
      <c r="O41" s="27"/>
    </row>
    <row r="42" spans="1:17" ht="17.25">
      <c r="A42" s="36" t="s">
        <v>13</v>
      </c>
      <c r="B42" s="38" t="s">
        <v>41</v>
      </c>
      <c r="C42" s="36"/>
      <c r="D42" s="23" t="s">
        <v>2</v>
      </c>
      <c r="E42" s="23">
        <v>62.27</v>
      </c>
      <c r="F42" s="23">
        <v>15.25</v>
      </c>
      <c r="G42" s="23">
        <v>7.7</v>
      </c>
      <c r="H42" s="23">
        <v>5.75</v>
      </c>
      <c r="I42" s="23">
        <v>5.36</v>
      </c>
      <c r="J42" s="24">
        <v>2.2400000000000002</v>
      </c>
      <c r="K42" s="24">
        <v>1.32</v>
      </c>
      <c r="L42" s="24">
        <v>0.12</v>
      </c>
      <c r="M42" s="45">
        <v>100</v>
      </c>
      <c r="N42" s="25"/>
      <c r="O42" s="27"/>
    </row>
    <row r="43" spans="1:17" ht="17.25">
      <c r="A43" s="36" t="s">
        <v>14</v>
      </c>
      <c r="B43" s="38" t="s">
        <v>41</v>
      </c>
      <c r="C43" s="36"/>
      <c r="D43" s="23">
        <v>0.91</v>
      </c>
      <c r="E43" s="23">
        <v>14.69</v>
      </c>
      <c r="F43" s="23">
        <v>27.02</v>
      </c>
      <c r="G43" s="23">
        <v>26.35</v>
      </c>
      <c r="H43" s="23">
        <v>19.87</v>
      </c>
      <c r="I43" s="23">
        <v>9.8699999999999992</v>
      </c>
      <c r="J43" s="24">
        <v>1.1299999999999999</v>
      </c>
      <c r="K43" s="24">
        <v>0.16</v>
      </c>
      <c r="L43" s="23">
        <v>0</v>
      </c>
      <c r="M43" s="45">
        <v>100</v>
      </c>
      <c r="N43" s="25"/>
      <c r="O43" s="27"/>
    </row>
    <row r="44" spans="1:17" ht="17.25">
      <c r="A44" s="36" t="s">
        <v>15</v>
      </c>
      <c r="B44" s="38" t="s">
        <v>41</v>
      </c>
      <c r="C44" s="36"/>
      <c r="D44" s="23">
        <v>0</v>
      </c>
      <c r="E44" s="23">
        <v>59.6</v>
      </c>
      <c r="F44" s="23">
        <v>22.37</v>
      </c>
      <c r="G44" s="23">
        <v>10.84</v>
      </c>
      <c r="H44" s="23">
        <v>5.3</v>
      </c>
      <c r="I44" s="23">
        <v>1.72</v>
      </c>
      <c r="J44" s="24">
        <v>0.15</v>
      </c>
      <c r="K44" s="24">
        <v>0.01</v>
      </c>
      <c r="L44" s="23">
        <v>0</v>
      </c>
      <c r="M44" s="45">
        <v>100</v>
      </c>
      <c r="N44" s="25"/>
      <c r="O44" s="27"/>
    </row>
    <row r="45" spans="1:17" ht="17.25">
      <c r="A45" s="36" t="s">
        <v>16</v>
      </c>
      <c r="B45" s="38" t="s">
        <v>41</v>
      </c>
      <c r="C45" s="36"/>
      <c r="D45" s="23">
        <v>7.0000000000000007E-2</v>
      </c>
      <c r="E45" s="23">
        <v>48.459999999999994</v>
      </c>
      <c r="F45" s="23">
        <v>20.51</v>
      </c>
      <c r="G45" s="23">
        <v>11.92</v>
      </c>
      <c r="H45" s="23">
        <v>9.65</v>
      </c>
      <c r="I45" s="23">
        <v>7.32</v>
      </c>
      <c r="J45" s="24">
        <v>1.55</v>
      </c>
      <c r="K45" s="24">
        <v>0.49</v>
      </c>
      <c r="L45" s="24">
        <v>0.04</v>
      </c>
      <c r="M45" s="45">
        <v>100</v>
      </c>
      <c r="N45" s="25"/>
      <c r="O45" s="27"/>
    </row>
    <row r="46" spans="1:17" ht="17.25">
      <c r="A46" s="36" t="s">
        <v>17</v>
      </c>
      <c r="B46" s="38" t="s">
        <v>41</v>
      </c>
      <c r="C46" s="36"/>
      <c r="D46" s="23">
        <v>0.44</v>
      </c>
      <c r="E46" s="23">
        <v>17.079999999999998</v>
      </c>
      <c r="F46" s="23">
        <v>10.039999999999999</v>
      </c>
      <c r="G46" s="23">
        <v>10.27</v>
      </c>
      <c r="H46" s="23">
        <v>19.309999999999999</v>
      </c>
      <c r="I46" s="23">
        <v>33.71</v>
      </c>
      <c r="J46" s="24">
        <v>8.35</v>
      </c>
      <c r="K46" s="24">
        <v>0.77</v>
      </c>
      <c r="L46" s="24">
        <v>0.03</v>
      </c>
      <c r="M46" s="45">
        <v>100</v>
      </c>
      <c r="N46" s="25"/>
      <c r="O46" s="27"/>
    </row>
    <row r="47" spans="1:17" ht="17.25">
      <c r="A47" s="36" t="s">
        <v>18</v>
      </c>
      <c r="B47" s="38" t="s">
        <v>41</v>
      </c>
      <c r="C47" s="36"/>
      <c r="D47" s="23">
        <v>0.03</v>
      </c>
      <c r="E47" s="23">
        <v>79.92</v>
      </c>
      <c r="F47" s="23">
        <v>11.18</v>
      </c>
      <c r="G47" s="23">
        <v>4.9800000000000004</v>
      </c>
      <c r="H47" s="23">
        <v>2.67</v>
      </c>
      <c r="I47" s="23">
        <v>1</v>
      </c>
      <c r="J47" s="24">
        <v>0.14000000000000001</v>
      </c>
      <c r="K47" s="24">
        <v>7.0000000000000007E-2</v>
      </c>
      <c r="L47" s="24">
        <v>0.02</v>
      </c>
      <c r="M47" s="45">
        <v>100</v>
      </c>
      <c r="N47" s="25"/>
      <c r="O47" s="27"/>
    </row>
    <row r="48" spans="1:17" ht="17.25">
      <c r="A48" s="36" t="s">
        <v>19</v>
      </c>
      <c r="B48" s="38" t="s">
        <v>41</v>
      </c>
      <c r="C48" s="36"/>
      <c r="D48" s="23">
        <v>0.18</v>
      </c>
      <c r="E48" s="23">
        <v>63.589999999999996</v>
      </c>
      <c r="F48" s="23">
        <v>17.93</v>
      </c>
      <c r="G48" s="23">
        <v>8.75</v>
      </c>
      <c r="H48" s="23">
        <v>5.29</v>
      </c>
      <c r="I48" s="23">
        <v>3.09</v>
      </c>
      <c r="J48" s="24">
        <v>0.83</v>
      </c>
      <c r="K48" s="24">
        <v>0.32</v>
      </c>
      <c r="L48" s="24">
        <v>0.03</v>
      </c>
      <c r="M48" s="45">
        <v>100</v>
      </c>
      <c r="N48" s="25"/>
      <c r="O48" s="27"/>
    </row>
    <row r="49" spans="1:20" ht="17.25">
      <c r="A49" s="36" t="s">
        <v>20</v>
      </c>
      <c r="B49" s="38" t="s">
        <v>41</v>
      </c>
      <c r="C49" s="36"/>
      <c r="D49" s="23">
        <v>0.01</v>
      </c>
      <c r="E49" s="23">
        <v>86.33</v>
      </c>
      <c r="F49" s="23">
        <v>8.2799999999999994</v>
      </c>
      <c r="G49" s="23">
        <v>2.71</v>
      </c>
      <c r="H49" s="23">
        <v>1.63</v>
      </c>
      <c r="I49" s="23">
        <v>0.87</v>
      </c>
      <c r="J49" s="24">
        <v>0.14000000000000001</v>
      </c>
      <c r="K49" s="24">
        <v>0.04</v>
      </c>
      <c r="L49" s="23" t="s">
        <v>2</v>
      </c>
      <c r="M49" s="45">
        <v>100</v>
      </c>
      <c r="N49" s="25"/>
      <c r="O49" s="27"/>
    </row>
    <row r="50" spans="1:20" ht="17.25">
      <c r="A50" s="36" t="s">
        <v>21</v>
      </c>
      <c r="B50" s="38" t="s">
        <v>41</v>
      </c>
      <c r="C50" s="36"/>
      <c r="D50" s="23" t="s">
        <v>2</v>
      </c>
      <c r="E50" s="23">
        <v>74.83</v>
      </c>
      <c r="F50" s="23">
        <v>12.47</v>
      </c>
      <c r="G50" s="23">
        <v>5.43</v>
      </c>
      <c r="H50" s="23">
        <v>3.65</v>
      </c>
      <c r="I50" s="23">
        <v>2.38</v>
      </c>
      <c r="J50" s="24">
        <v>0.81</v>
      </c>
      <c r="K50" s="24">
        <v>0.38999999999999996</v>
      </c>
      <c r="L50" s="24">
        <v>0.04</v>
      </c>
      <c r="M50" s="45">
        <v>100</v>
      </c>
      <c r="N50" s="25"/>
      <c r="O50" s="27"/>
      <c r="T50" s="27"/>
    </row>
    <row r="51" spans="1:20" ht="17.25">
      <c r="A51" s="36" t="s">
        <v>22</v>
      </c>
      <c r="B51" s="38" t="s">
        <v>41</v>
      </c>
      <c r="C51" s="36"/>
      <c r="D51" s="23">
        <v>0.05</v>
      </c>
      <c r="E51" s="23">
        <v>69.539999999999992</v>
      </c>
      <c r="F51" s="23">
        <v>15.81</v>
      </c>
      <c r="G51" s="23">
        <v>6.97</v>
      </c>
      <c r="H51" s="23">
        <v>4.54</v>
      </c>
      <c r="I51" s="23">
        <v>2.4</v>
      </c>
      <c r="J51" s="24">
        <v>0.48</v>
      </c>
      <c r="K51" s="24">
        <v>0.19</v>
      </c>
      <c r="L51" s="24">
        <v>0.03</v>
      </c>
      <c r="M51" s="45">
        <v>100</v>
      </c>
      <c r="N51" s="25"/>
      <c r="O51" s="27"/>
    </row>
    <row r="52" spans="1:20" ht="17.25">
      <c r="A52" s="36" t="s">
        <v>23</v>
      </c>
      <c r="B52" s="38" t="s">
        <v>41</v>
      </c>
      <c r="C52" s="36"/>
      <c r="D52" s="23" t="s">
        <v>2</v>
      </c>
      <c r="E52" s="23">
        <v>14.44</v>
      </c>
      <c r="F52" s="23">
        <v>12.05</v>
      </c>
      <c r="G52" s="23">
        <v>11.42</v>
      </c>
      <c r="H52" s="23">
        <v>21.59</v>
      </c>
      <c r="I52" s="23">
        <v>35.01</v>
      </c>
      <c r="J52" s="24">
        <v>5.03</v>
      </c>
      <c r="K52" s="24">
        <v>0.46</v>
      </c>
      <c r="L52" s="23" t="s">
        <v>1</v>
      </c>
      <c r="M52" s="45">
        <v>100</v>
      </c>
      <c r="N52" s="25"/>
      <c r="O52" s="27"/>
    </row>
    <row r="53" spans="1:20" ht="17.25">
      <c r="A53" s="36" t="s">
        <v>24</v>
      </c>
      <c r="B53" s="38" t="s">
        <v>41</v>
      </c>
      <c r="C53" s="36"/>
      <c r="D53" s="23">
        <v>7.0000000000000007E-2</v>
      </c>
      <c r="E53" s="23">
        <v>58.629999999999995</v>
      </c>
      <c r="F53" s="23">
        <v>19.739999999999998</v>
      </c>
      <c r="G53" s="23">
        <v>8.73</v>
      </c>
      <c r="H53" s="23">
        <v>5.68</v>
      </c>
      <c r="I53" s="23">
        <v>4.54</v>
      </c>
      <c r="J53" s="24">
        <v>1.58</v>
      </c>
      <c r="K53" s="24">
        <v>0.82000000000000006</v>
      </c>
      <c r="L53" s="24">
        <v>0.19</v>
      </c>
      <c r="M53" s="45">
        <v>100</v>
      </c>
      <c r="N53" s="25"/>
      <c r="O53" s="27"/>
      <c r="P53" s="28"/>
    </row>
    <row r="54" spans="1:20" ht="17.25">
      <c r="A54" s="36" t="s">
        <v>25</v>
      </c>
      <c r="B54" s="38" t="s">
        <v>41</v>
      </c>
      <c r="C54" s="36"/>
      <c r="D54" s="23" t="s">
        <v>2</v>
      </c>
      <c r="E54" s="23">
        <v>93.789999999999992</v>
      </c>
      <c r="F54" s="23">
        <v>3.05</v>
      </c>
      <c r="G54" s="23">
        <v>1.23</v>
      </c>
      <c r="H54" s="23">
        <v>1.1100000000000001</v>
      </c>
      <c r="I54" s="23">
        <v>0.71</v>
      </c>
      <c r="J54" s="24">
        <v>0.1</v>
      </c>
      <c r="K54" s="23" t="s">
        <v>2</v>
      </c>
      <c r="L54" s="23" t="s">
        <v>2</v>
      </c>
      <c r="M54" s="45">
        <v>100</v>
      </c>
      <c r="N54" s="25"/>
      <c r="O54" s="27"/>
      <c r="P54" s="28"/>
    </row>
    <row r="55" spans="1:20" ht="17.25">
      <c r="A55" s="36" t="s">
        <v>26</v>
      </c>
      <c r="B55" s="38" t="s">
        <v>41</v>
      </c>
      <c r="C55" s="36"/>
      <c r="D55" s="23">
        <v>0</v>
      </c>
      <c r="E55" s="23">
        <v>10</v>
      </c>
      <c r="F55" s="23">
        <v>18.41</v>
      </c>
      <c r="G55" s="23">
        <v>17.09</v>
      </c>
      <c r="H55" s="23">
        <v>25.95</v>
      </c>
      <c r="I55" s="23">
        <v>24.82</v>
      </c>
      <c r="J55" s="24">
        <v>3.2</v>
      </c>
      <c r="K55" s="24">
        <v>0.53</v>
      </c>
      <c r="L55" s="24">
        <v>0.01</v>
      </c>
      <c r="M55" s="45">
        <v>100</v>
      </c>
      <c r="N55" s="25"/>
      <c r="O55" s="27"/>
      <c r="P55" s="28"/>
    </row>
    <row r="56" spans="1:20" ht="17.25">
      <c r="A56" s="36" t="s">
        <v>27</v>
      </c>
      <c r="B56" s="38" t="s">
        <v>41</v>
      </c>
      <c r="C56" s="36"/>
      <c r="D56" s="23">
        <v>0.01</v>
      </c>
      <c r="E56" s="23">
        <v>29.71</v>
      </c>
      <c r="F56" s="23">
        <v>28.08</v>
      </c>
      <c r="G56" s="23">
        <v>22.99</v>
      </c>
      <c r="H56" s="23">
        <v>14.62</v>
      </c>
      <c r="I56" s="23">
        <v>4.21</v>
      </c>
      <c r="J56" s="24">
        <v>0.31</v>
      </c>
      <c r="K56" s="24">
        <v>7.0000000000000007E-2</v>
      </c>
      <c r="L56" s="24">
        <v>0</v>
      </c>
      <c r="M56" s="45">
        <v>100</v>
      </c>
      <c r="N56" s="25"/>
      <c r="O56" s="27"/>
      <c r="P56" s="28"/>
    </row>
    <row r="57" spans="1:20" ht="17.25">
      <c r="A57" s="36" t="s">
        <v>28</v>
      </c>
      <c r="B57" s="38" t="s">
        <v>41</v>
      </c>
      <c r="C57" s="36"/>
      <c r="D57" s="23">
        <v>0.02</v>
      </c>
      <c r="E57" s="23">
        <v>69.429999999999993</v>
      </c>
      <c r="F57" s="23">
        <v>18.47</v>
      </c>
      <c r="G57" s="23">
        <v>8.25</v>
      </c>
      <c r="H57" s="23">
        <v>2.85</v>
      </c>
      <c r="I57" s="23">
        <v>0.74</v>
      </c>
      <c r="J57" s="24">
        <v>0.16</v>
      </c>
      <c r="K57" s="24">
        <v>0.06</v>
      </c>
      <c r="L57" s="24">
        <v>0</v>
      </c>
      <c r="M57" s="45">
        <v>100</v>
      </c>
      <c r="N57" s="25"/>
      <c r="O57" s="27"/>
    </row>
    <row r="58" spans="1:20" ht="17.25">
      <c r="A58" s="36" t="s">
        <v>29</v>
      </c>
      <c r="B58" s="38" t="s">
        <v>41</v>
      </c>
      <c r="C58" s="36"/>
      <c r="D58" s="23">
        <v>0.05</v>
      </c>
      <c r="E58" s="23">
        <v>75.830000000000013</v>
      </c>
      <c r="F58" s="23">
        <v>11.18</v>
      </c>
      <c r="G58" s="23">
        <v>5.32</v>
      </c>
      <c r="H58" s="23">
        <v>3.83</v>
      </c>
      <c r="I58" s="23">
        <v>2.48</v>
      </c>
      <c r="J58" s="24">
        <v>0.89</v>
      </c>
      <c r="K58" s="24">
        <v>0.4</v>
      </c>
      <c r="L58" s="24">
        <v>0.01</v>
      </c>
      <c r="M58" s="45">
        <v>100</v>
      </c>
      <c r="N58" s="25"/>
      <c r="O58" s="27"/>
      <c r="P58" s="28"/>
    </row>
    <row r="59" spans="1:20" ht="17.25">
      <c r="A59" s="36" t="s">
        <v>30</v>
      </c>
      <c r="B59" s="38" t="s">
        <v>41</v>
      </c>
      <c r="C59" s="36"/>
      <c r="D59" s="23">
        <v>0</v>
      </c>
      <c r="E59" s="23">
        <v>88.61</v>
      </c>
      <c r="F59" s="23">
        <v>5.53</v>
      </c>
      <c r="G59" s="23">
        <v>2.79</v>
      </c>
      <c r="H59" s="23">
        <v>1.49</v>
      </c>
      <c r="I59" s="23">
        <v>0.99</v>
      </c>
      <c r="J59" s="24">
        <v>0.33</v>
      </c>
      <c r="K59" s="24">
        <v>0.21</v>
      </c>
      <c r="L59" s="24">
        <v>0.03</v>
      </c>
      <c r="M59" s="45">
        <v>100</v>
      </c>
      <c r="N59" s="25"/>
      <c r="O59" s="27"/>
      <c r="P59" s="28"/>
    </row>
    <row r="60" spans="1:20" ht="17.25">
      <c r="A60" s="36" t="s">
        <v>31</v>
      </c>
      <c r="B60" s="38" t="s">
        <v>41</v>
      </c>
      <c r="C60" s="36"/>
      <c r="D60" s="23">
        <v>0.59</v>
      </c>
      <c r="E60" s="23">
        <v>68.709999999999994</v>
      </c>
      <c r="F60" s="23">
        <v>20.74</v>
      </c>
      <c r="G60" s="23">
        <v>6.77</v>
      </c>
      <c r="H60" s="23">
        <v>2.37</v>
      </c>
      <c r="I60" s="23">
        <v>0.72</v>
      </c>
      <c r="J60" s="24">
        <v>0.06</v>
      </c>
      <c r="K60" s="24">
        <v>0.02</v>
      </c>
      <c r="L60" s="24">
        <v>0.02</v>
      </c>
      <c r="M60" s="45">
        <v>100</v>
      </c>
      <c r="N60" s="25"/>
      <c r="O60" s="27"/>
      <c r="P60" s="28"/>
    </row>
    <row r="61" spans="1:20" ht="17.25">
      <c r="A61" s="36" t="s">
        <v>32</v>
      </c>
      <c r="B61" s="38" t="s">
        <v>41</v>
      </c>
      <c r="C61" s="36"/>
      <c r="D61" s="23" t="s">
        <v>2</v>
      </c>
      <c r="E61" s="23">
        <v>57.06</v>
      </c>
      <c r="F61" s="23">
        <v>16.420000000000002</v>
      </c>
      <c r="G61" s="23">
        <v>7.95</v>
      </c>
      <c r="H61" s="23">
        <v>5.16</v>
      </c>
      <c r="I61" s="23">
        <v>4.9400000000000004</v>
      </c>
      <c r="J61" s="24">
        <v>2.81</v>
      </c>
      <c r="K61" s="24">
        <v>3.5400000000000005</v>
      </c>
      <c r="L61" s="24">
        <v>2.14</v>
      </c>
      <c r="M61" s="45">
        <v>100</v>
      </c>
      <c r="N61" s="25"/>
      <c r="O61" s="27"/>
      <c r="P61" s="28"/>
    </row>
    <row r="62" spans="1:20" ht="17.25">
      <c r="A62" s="36" t="s">
        <v>33</v>
      </c>
      <c r="B62" s="38" t="s">
        <v>41</v>
      </c>
      <c r="C62" s="36"/>
      <c r="D62" s="23">
        <v>0</v>
      </c>
      <c r="E62" s="23">
        <v>20.66</v>
      </c>
      <c r="F62" s="23">
        <v>26.57</v>
      </c>
      <c r="G62" s="23">
        <v>21.57</v>
      </c>
      <c r="H62" s="23">
        <v>17.78</v>
      </c>
      <c r="I62" s="23">
        <v>11.13</v>
      </c>
      <c r="J62" s="24">
        <v>1.86</v>
      </c>
      <c r="K62" s="24">
        <v>0.41</v>
      </c>
      <c r="L62" s="24">
        <v>0.01</v>
      </c>
      <c r="M62" s="45">
        <v>100</v>
      </c>
      <c r="N62" s="25"/>
      <c r="O62" s="27"/>
    </row>
    <row r="63" spans="1:20" ht="17.25">
      <c r="A63" s="36" t="s">
        <v>34</v>
      </c>
      <c r="B63" s="38" t="s">
        <v>41</v>
      </c>
      <c r="C63" s="36"/>
      <c r="D63" s="23">
        <v>0.03</v>
      </c>
      <c r="E63" s="23">
        <v>35.019999999999996</v>
      </c>
      <c r="F63" s="23">
        <v>23.48</v>
      </c>
      <c r="G63" s="23">
        <v>13.27</v>
      </c>
      <c r="H63" s="23">
        <v>11.53</v>
      </c>
      <c r="I63" s="23">
        <v>11.59</v>
      </c>
      <c r="J63" s="24">
        <v>3.94</v>
      </c>
      <c r="K63" s="24">
        <v>1.1100000000000001</v>
      </c>
      <c r="L63" s="24">
        <v>0.04</v>
      </c>
      <c r="M63" s="45">
        <v>100</v>
      </c>
      <c r="N63" s="25"/>
      <c r="O63" s="27"/>
    </row>
    <row r="64" spans="1:20" ht="17.25">
      <c r="A64" s="36" t="s">
        <v>35</v>
      </c>
      <c r="B64" s="38" t="s">
        <v>41</v>
      </c>
      <c r="C64" s="36"/>
      <c r="D64" s="23">
        <v>0.02</v>
      </c>
      <c r="E64" s="23">
        <v>10.64</v>
      </c>
      <c r="F64" s="23">
        <v>19.91</v>
      </c>
      <c r="G64" s="23">
        <v>17.62</v>
      </c>
      <c r="H64" s="23">
        <v>20.04</v>
      </c>
      <c r="I64" s="23">
        <v>21.38</v>
      </c>
      <c r="J64" s="24">
        <v>7.36</v>
      </c>
      <c r="K64" s="24">
        <v>2.81</v>
      </c>
      <c r="L64" s="24">
        <v>0.21</v>
      </c>
      <c r="M64" s="45">
        <v>100</v>
      </c>
      <c r="N64" s="25"/>
      <c r="O64" s="27"/>
    </row>
    <row r="65" spans="1:15" ht="17.25">
      <c r="A65" s="37" t="s">
        <v>6</v>
      </c>
      <c r="B65" s="38" t="s">
        <v>41</v>
      </c>
      <c r="C65" s="37"/>
      <c r="D65" s="29">
        <v>0.09</v>
      </c>
      <c r="E65" s="29">
        <v>58.16</v>
      </c>
      <c r="F65" s="29">
        <v>16.98</v>
      </c>
      <c r="G65" s="29">
        <v>9.74</v>
      </c>
      <c r="H65" s="29">
        <v>7.24</v>
      </c>
      <c r="I65" s="29">
        <v>5.86</v>
      </c>
      <c r="J65" s="30">
        <v>1.42</v>
      </c>
      <c r="K65" s="30">
        <v>0.43999999999999995</v>
      </c>
      <c r="L65" s="30">
        <v>7.0000000000000007E-2</v>
      </c>
      <c r="M65" s="46">
        <v>100</v>
      </c>
      <c r="N65" s="27"/>
      <c r="O65" s="27"/>
    </row>
    <row r="66" spans="1:15" ht="17.25">
      <c r="A66" s="32" t="s">
        <v>68</v>
      </c>
      <c r="B66" s="32"/>
      <c r="C66" s="32"/>
      <c r="D66" s="17"/>
      <c r="E66" s="17"/>
      <c r="F66" s="17"/>
      <c r="G66" s="17"/>
      <c r="H66" s="17"/>
      <c r="I66" s="17"/>
      <c r="J66" s="17"/>
      <c r="K66" s="17"/>
      <c r="L66" s="17"/>
      <c r="M66" s="34"/>
    </row>
    <row r="67" spans="1:15" ht="17.25">
      <c r="A67" s="32" t="s">
        <v>7</v>
      </c>
      <c r="B67" s="32"/>
      <c r="C67" s="32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5" s="17" customFormat="1">
      <c r="A68" s="33" t="s">
        <v>0</v>
      </c>
      <c r="B68" s="33"/>
      <c r="C68" s="33"/>
    </row>
  </sheetData>
  <pageMargins left="1.5748031496062993" right="1.6535433070866143" top="0.59055118110236227" bottom="2.2834645669291338" header="0.51181102362204722" footer="0.51181102362204722"/>
  <pageSetup paperSize="9" scale="97" orientation="portrait" r:id="rId1"/>
  <headerFooter alignWithMargins="0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8"/>
  <sheetViews>
    <sheetView zoomScaleNormal="100" workbookViewId="0"/>
  </sheetViews>
  <sheetFormatPr baseColWidth="10" defaultColWidth="9.140625" defaultRowHeight="16.5"/>
  <cols>
    <col min="1" max="1" width="16.85546875" style="4" customWidth="1"/>
    <col min="2" max="2" width="12.140625" style="4" customWidth="1"/>
    <col min="3" max="3" width="8.7109375" style="4" customWidth="1"/>
    <col min="4" max="4" width="21.140625" style="18" customWidth="1"/>
    <col min="5" max="13" width="21.140625" style="4" customWidth="1"/>
    <col min="14" max="16384" width="9.140625" style="4"/>
  </cols>
  <sheetData>
    <row r="1" spans="1:16" ht="17.25">
      <c r="A1" s="35" t="s">
        <v>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ht="17.25">
      <c r="A2" s="20" t="s">
        <v>55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16"/>
    </row>
    <row r="3" spans="1:16">
      <c r="A3" s="20" t="s">
        <v>4</v>
      </c>
      <c r="B3" s="20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6">
      <c r="A4" s="20" t="s">
        <v>53</v>
      </c>
      <c r="B4" s="20"/>
      <c r="C4" s="20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6" ht="39.75" customHeight="1">
      <c r="A5" s="44" t="s">
        <v>5</v>
      </c>
      <c r="B5" s="47" t="s">
        <v>39</v>
      </c>
      <c r="C5" s="47" t="s">
        <v>40</v>
      </c>
      <c r="D5" s="41" t="s">
        <v>36</v>
      </c>
      <c r="E5" s="42" t="s">
        <v>44</v>
      </c>
      <c r="F5" s="42" t="s">
        <v>49</v>
      </c>
      <c r="G5" s="42" t="s">
        <v>50</v>
      </c>
      <c r="H5" s="42" t="s">
        <v>51</v>
      </c>
      <c r="I5" s="42" t="s">
        <v>48</v>
      </c>
      <c r="J5" s="42" t="s">
        <v>47</v>
      </c>
      <c r="K5" s="42" t="s">
        <v>46</v>
      </c>
      <c r="L5" s="42" t="s">
        <v>45</v>
      </c>
      <c r="M5" s="43" t="s">
        <v>37</v>
      </c>
    </row>
    <row r="6" spans="1:16" ht="17.25">
      <c r="A6" s="36" t="s">
        <v>8</v>
      </c>
      <c r="B6" s="38" t="s">
        <v>43</v>
      </c>
      <c r="C6" s="36"/>
      <c r="D6" s="5">
        <v>3.2000000000000001E-2</v>
      </c>
      <c r="E6" s="6">
        <v>6.2569999999999997</v>
      </c>
      <c r="F6" s="6">
        <v>5.6829999999999998</v>
      </c>
      <c r="G6" s="6">
        <v>5.7119999999999997</v>
      </c>
      <c r="H6" s="6">
        <v>7.9809999999999999</v>
      </c>
      <c r="I6" s="6">
        <v>7.4160000000000004</v>
      </c>
      <c r="J6" s="7">
        <v>1.2829999999999999</v>
      </c>
      <c r="K6" s="7">
        <v>0.122</v>
      </c>
      <c r="L6" s="8">
        <v>1E-3</v>
      </c>
      <c r="M6" s="6">
        <f t="shared" ref="M6:M15" si="0">SUM(D6:L6)</f>
        <v>34.487000000000002</v>
      </c>
      <c r="N6" s="9"/>
      <c r="O6" s="1"/>
      <c r="P6" s="6"/>
    </row>
    <row r="7" spans="1:16" ht="17.25">
      <c r="A7" s="36" t="s">
        <v>9</v>
      </c>
      <c r="B7" s="38" t="s">
        <v>43</v>
      </c>
      <c r="C7" s="36"/>
      <c r="D7" s="5">
        <v>1E-3</v>
      </c>
      <c r="E7" s="6">
        <v>31.565999999999999</v>
      </c>
      <c r="F7" s="6">
        <v>14.315</v>
      </c>
      <c r="G7" s="6">
        <v>9.1880000000000006</v>
      </c>
      <c r="H7" s="6">
        <v>5.8460000000000001</v>
      </c>
      <c r="I7" s="6">
        <v>3.3109999999999999</v>
      </c>
      <c r="J7" s="7">
        <v>1.4570000000000001</v>
      </c>
      <c r="K7" s="7">
        <v>1.371</v>
      </c>
      <c r="L7" s="8">
        <v>0.23699999999999999</v>
      </c>
      <c r="M7" s="6">
        <f t="shared" si="0"/>
        <v>67.291999999999987</v>
      </c>
      <c r="N7" s="9"/>
      <c r="O7" s="1"/>
    </row>
    <row r="8" spans="1:16" ht="17.25">
      <c r="A8" s="36" t="s">
        <v>10</v>
      </c>
      <c r="B8" s="38" t="s">
        <v>43</v>
      </c>
      <c r="C8" s="36"/>
      <c r="D8" s="10" t="s">
        <v>58</v>
      </c>
      <c r="E8" s="6">
        <v>11.455</v>
      </c>
      <c r="F8" s="6">
        <v>6.1120000000000001</v>
      </c>
      <c r="G8" s="6">
        <v>3.65</v>
      </c>
      <c r="H8" s="6">
        <v>2.9079999999999999</v>
      </c>
      <c r="I8" s="6">
        <v>2.5510000000000002</v>
      </c>
      <c r="J8" s="7">
        <v>1.038</v>
      </c>
      <c r="K8" s="7">
        <v>1.2749999999999999</v>
      </c>
      <c r="L8" s="8">
        <v>0.67800000000000005</v>
      </c>
      <c r="M8" s="6">
        <f t="shared" si="0"/>
        <v>29.667000000000002</v>
      </c>
      <c r="N8" s="9"/>
      <c r="O8" s="1"/>
    </row>
    <row r="9" spans="1:16" ht="17.25">
      <c r="A9" s="36" t="s">
        <v>11</v>
      </c>
      <c r="B9" s="38" t="s">
        <v>43</v>
      </c>
      <c r="C9" s="36"/>
      <c r="D9" s="5">
        <v>1.4E-2</v>
      </c>
      <c r="E9" s="6">
        <v>10.721</v>
      </c>
      <c r="F9" s="6">
        <v>8.25</v>
      </c>
      <c r="G9" s="6">
        <v>5.2939999999999996</v>
      </c>
      <c r="H9" s="6">
        <v>4.58</v>
      </c>
      <c r="I9" s="6">
        <v>5.5289999999999999</v>
      </c>
      <c r="J9" s="7">
        <v>3.4990000000000001</v>
      </c>
      <c r="K9" s="7">
        <v>1.615</v>
      </c>
      <c r="L9" s="8">
        <v>7.4999999999999997E-2</v>
      </c>
      <c r="M9" s="6">
        <f t="shared" si="0"/>
        <v>39.577000000000012</v>
      </c>
      <c r="N9" s="9"/>
      <c r="O9" s="1"/>
    </row>
    <row r="10" spans="1:16" ht="17.25">
      <c r="A10" s="37" t="s">
        <v>12</v>
      </c>
      <c r="B10" s="38" t="s">
        <v>43</v>
      </c>
      <c r="C10" s="37"/>
      <c r="D10" s="11">
        <v>0.28899999999999998</v>
      </c>
      <c r="E10" s="12">
        <v>78.406000000000006</v>
      </c>
      <c r="F10" s="12">
        <v>62.298999999999999</v>
      </c>
      <c r="G10" s="12">
        <v>54.835999999999999</v>
      </c>
      <c r="H10" s="12">
        <v>58.960999999999999</v>
      </c>
      <c r="I10" s="12">
        <v>48.374000000000002</v>
      </c>
      <c r="J10" s="13">
        <v>9.1020000000000003</v>
      </c>
      <c r="K10" s="13">
        <v>4.1399999999999997</v>
      </c>
      <c r="L10" s="14">
        <v>1.1830000000000001</v>
      </c>
      <c r="M10" s="39">
        <f t="shared" si="0"/>
        <v>317.58999999999997</v>
      </c>
      <c r="N10" s="9"/>
      <c r="O10" s="2"/>
    </row>
    <row r="11" spans="1:16" ht="17.25">
      <c r="A11" s="36" t="s">
        <v>13</v>
      </c>
      <c r="B11" s="38" t="s">
        <v>43</v>
      </c>
      <c r="C11" s="36"/>
      <c r="D11" s="19" t="s">
        <v>58</v>
      </c>
      <c r="E11" s="15">
        <v>9.7650000000000006</v>
      </c>
      <c r="F11" s="15">
        <v>2.3290000000000002</v>
      </c>
      <c r="G11" s="15">
        <v>1.2490000000000001</v>
      </c>
      <c r="H11" s="15">
        <v>0.85599999999999998</v>
      </c>
      <c r="I11" s="15">
        <v>0.77900000000000003</v>
      </c>
      <c r="J11" s="7">
        <v>0.29699999999999999</v>
      </c>
      <c r="K11" s="7">
        <v>0.17100000000000001</v>
      </c>
      <c r="L11" s="8">
        <v>1.7000000000000001E-2</v>
      </c>
      <c r="M11" s="6">
        <f t="shared" si="0"/>
        <v>15.463000000000001</v>
      </c>
      <c r="N11" s="9"/>
      <c r="O11" s="1"/>
    </row>
    <row r="12" spans="1:16" ht="17.25">
      <c r="A12" s="36" t="s">
        <v>14</v>
      </c>
      <c r="B12" s="38" t="s">
        <v>43</v>
      </c>
      <c r="C12" s="36"/>
      <c r="D12" s="7">
        <v>1.2E-2</v>
      </c>
      <c r="E12" s="15">
        <v>19.449000000000002</v>
      </c>
      <c r="F12" s="15">
        <v>33.069000000000003</v>
      </c>
      <c r="G12" s="15">
        <v>32.619</v>
      </c>
      <c r="H12" s="15">
        <v>24.731000000000002</v>
      </c>
      <c r="I12" s="15">
        <v>12.704000000000001</v>
      </c>
      <c r="J12" s="7">
        <v>1.4950000000000001</v>
      </c>
      <c r="K12" s="7">
        <v>0.20300000000000001</v>
      </c>
      <c r="L12" s="8" t="s">
        <v>58</v>
      </c>
      <c r="M12" s="6">
        <f t="shared" si="0"/>
        <v>124.28200000000001</v>
      </c>
      <c r="N12" s="9"/>
      <c r="O12" s="1"/>
    </row>
    <row r="13" spans="1:16" ht="17.25">
      <c r="A13" s="36" t="s">
        <v>15</v>
      </c>
      <c r="B13" s="38" t="s">
        <v>43</v>
      </c>
      <c r="C13" s="36"/>
      <c r="D13" s="7">
        <v>2.4E-2</v>
      </c>
      <c r="E13" s="15">
        <v>385.17399999999998</v>
      </c>
      <c r="F13" s="15">
        <v>138.15</v>
      </c>
      <c r="G13" s="15">
        <v>67.275999999999996</v>
      </c>
      <c r="H13" s="15">
        <v>30.652999999999999</v>
      </c>
      <c r="I13" s="15">
        <v>10.257999999999999</v>
      </c>
      <c r="J13" s="7">
        <v>0.91100000000000003</v>
      </c>
      <c r="K13" s="7">
        <v>9.1999999999999998E-2</v>
      </c>
      <c r="L13" s="8" t="s">
        <v>58</v>
      </c>
      <c r="M13" s="6">
        <f t="shared" si="0"/>
        <v>632.5379999999999</v>
      </c>
      <c r="N13" s="9"/>
      <c r="O13" s="3"/>
    </row>
    <row r="14" spans="1:16" ht="17.25">
      <c r="A14" s="36" t="s">
        <v>16</v>
      </c>
      <c r="B14" s="38" t="s">
        <v>43</v>
      </c>
      <c r="C14" s="36"/>
      <c r="D14" s="7">
        <v>0.39500000000000002</v>
      </c>
      <c r="E14" s="15">
        <v>381.41699999999997</v>
      </c>
      <c r="F14" s="15">
        <v>138.99100000000001</v>
      </c>
      <c r="G14" s="15">
        <v>80.707999999999998</v>
      </c>
      <c r="H14" s="15">
        <v>65.302999999999997</v>
      </c>
      <c r="I14" s="15">
        <v>49.029000000000003</v>
      </c>
      <c r="J14" s="7">
        <v>10.204000000000001</v>
      </c>
      <c r="K14" s="7">
        <v>3.2530000000000001</v>
      </c>
      <c r="L14" s="8">
        <v>0.30299999999999999</v>
      </c>
      <c r="M14" s="6">
        <f t="shared" si="0"/>
        <v>729.60299999999995</v>
      </c>
      <c r="N14" s="9"/>
      <c r="O14" s="3"/>
    </row>
    <row r="15" spans="1:16" ht="17.25">
      <c r="A15" s="36" t="s">
        <v>17</v>
      </c>
      <c r="B15" s="38" t="s">
        <v>43</v>
      </c>
      <c r="C15" s="36"/>
      <c r="D15" s="7">
        <v>0.97299999999999998</v>
      </c>
      <c r="E15" s="15">
        <v>66.433999999999997</v>
      </c>
      <c r="F15" s="15">
        <v>34.542999999999999</v>
      </c>
      <c r="G15" s="15">
        <v>35.366</v>
      </c>
      <c r="H15" s="15">
        <v>65.718999999999994</v>
      </c>
      <c r="I15" s="15">
        <v>112.342</v>
      </c>
      <c r="J15" s="7">
        <v>28.759</v>
      </c>
      <c r="K15" s="7">
        <v>3.153</v>
      </c>
      <c r="L15" s="8">
        <v>0.11700000000000001</v>
      </c>
      <c r="M15" s="6">
        <f t="shared" si="0"/>
        <v>347.40600000000001</v>
      </c>
      <c r="N15" s="9"/>
      <c r="O15" s="3"/>
    </row>
    <row r="16" spans="1:16" ht="17.25">
      <c r="A16" s="36" t="s">
        <v>18</v>
      </c>
      <c r="B16" s="38" t="s">
        <v>43</v>
      </c>
      <c r="C16" s="36"/>
      <c r="D16" s="7">
        <v>0.23499999999999999</v>
      </c>
      <c r="E16" s="15">
        <v>83.751000000000005</v>
      </c>
      <c r="F16" s="15">
        <v>9.6549999999999994</v>
      </c>
      <c r="G16" s="15">
        <v>4.3659999999999997</v>
      </c>
      <c r="H16" s="15">
        <v>2.093</v>
      </c>
      <c r="I16" s="15">
        <v>0.70099999999999996</v>
      </c>
      <c r="J16" s="7">
        <v>0.111</v>
      </c>
      <c r="K16" s="7">
        <v>6.4000000000000001E-2</v>
      </c>
      <c r="L16" s="8">
        <v>0.02</v>
      </c>
      <c r="M16" s="6">
        <f t="shared" ref="M16:M34" si="1">SUM(D16:L16)</f>
        <v>100.996</v>
      </c>
      <c r="N16" s="9"/>
      <c r="O16" s="3"/>
    </row>
    <row r="17" spans="1:15" ht="17.25">
      <c r="A17" s="36" t="s">
        <v>19</v>
      </c>
      <c r="B17" s="38" t="s">
        <v>43</v>
      </c>
      <c r="C17" s="36"/>
      <c r="D17" s="7">
        <v>0.69699999999999995</v>
      </c>
      <c r="E17" s="15">
        <v>547.88300000000004</v>
      </c>
      <c r="F17" s="15">
        <v>144.78399999999999</v>
      </c>
      <c r="G17" s="15">
        <v>71.179000000000002</v>
      </c>
      <c r="H17" s="15">
        <v>42.613</v>
      </c>
      <c r="I17" s="15">
        <v>24.943999999999999</v>
      </c>
      <c r="J17" s="7">
        <v>7.0830000000000002</v>
      </c>
      <c r="K17" s="7">
        <v>2.823</v>
      </c>
      <c r="L17" s="8">
        <v>0.28100000000000003</v>
      </c>
      <c r="M17" s="6">
        <f t="shared" si="1"/>
        <v>842.28699999999981</v>
      </c>
      <c r="N17" s="9"/>
      <c r="O17" s="1"/>
    </row>
    <row r="18" spans="1:15" ht="17.25">
      <c r="A18" s="36" t="s">
        <v>20</v>
      </c>
      <c r="B18" s="38" t="s">
        <v>43</v>
      </c>
      <c r="C18" s="36"/>
      <c r="D18" s="7">
        <v>7.0000000000000007E-2</v>
      </c>
      <c r="E18" s="15">
        <v>28.128</v>
      </c>
      <c r="F18" s="15">
        <v>2.734</v>
      </c>
      <c r="G18" s="15">
        <v>0.90800000000000003</v>
      </c>
      <c r="H18" s="15">
        <v>0.52600000000000002</v>
      </c>
      <c r="I18" s="15">
        <v>0.28199999999999997</v>
      </c>
      <c r="J18" s="7">
        <v>5.1999999999999998E-2</v>
      </c>
      <c r="K18" s="7">
        <v>1.2E-2</v>
      </c>
      <c r="L18" s="48" t="s">
        <v>58</v>
      </c>
      <c r="M18" s="6">
        <f t="shared" si="1"/>
        <v>32.712000000000003</v>
      </c>
      <c r="N18" s="9"/>
      <c r="O18" s="1"/>
    </row>
    <row r="19" spans="1:15" ht="17.25">
      <c r="A19" s="36" t="s">
        <v>21</v>
      </c>
      <c r="B19" s="38" t="s">
        <v>43</v>
      </c>
      <c r="C19" s="36"/>
      <c r="D19" s="19" t="s">
        <v>58</v>
      </c>
      <c r="E19" s="15">
        <v>46.164000000000001</v>
      </c>
      <c r="F19" s="15">
        <v>6.9219999999999997</v>
      </c>
      <c r="G19" s="15">
        <v>2.9769999999999999</v>
      </c>
      <c r="H19" s="15">
        <v>1.84</v>
      </c>
      <c r="I19" s="15">
        <v>1.26</v>
      </c>
      <c r="J19" s="7">
        <v>0.38700000000000001</v>
      </c>
      <c r="K19" s="7">
        <v>0.20100000000000001</v>
      </c>
      <c r="L19" s="8">
        <v>1.4E-2</v>
      </c>
      <c r="M19" s="6">
        <f t="shared" si="1"/>
        <v>59.765000000000001</v>
      </c>
      <c r="N19" s="9"/>
      <c r="O19" s="1"/>
    </row>
    <row r="20" spans="1:15" ht="17.25">
      <c r="A20" s="36" t="s">
        <v>22</v>
      </c>
      <c r="B20" s="38" t="s">
        <v>43</v>
      </c>
      <c r="C20" s="36"/>
      <c r="D20" s="7">
        <v>0.11</v>
      </c>
      <c r="E20" s="15">
        <v>96.968999999999994</v>
      </c>
      <c r="F20" s="15">
        <v>20.231000000000002</v>
      </c>
      <c r="G20" s="15">
        <v>8.8239999999999998</v>
      </c>
      <c r="H20" s="15">
        <v>5.3380000000000001</v>
      </c>
      <c r="I20" s="15">
        <v>2.7290000000000001</v>
      </c>
      <c r="J20" s="7">
        <v>0.54800000000000004</v>
      </c>
      <c r="K20" s="7">
        <v>0.21099999999999999</v>
      </c>
      <c r="L20" s="8">
        <v>3.5999999999999997E-2</v>
      </c>
      <c r="M20" s="6">
        <f t="shared" si="1"/>
        <v>134.99600000000004</v>
      </c>
      <c r="N20" s="9"/>
      <c r="O20" s="1"/>
    </row>
    <row r="21" spans="1:15" ht="17.25">
      <c r="A21" s="36" t="s">
        <v>23</v>
      </c>
      <c r="B21" s="38" t="s">
        <v>43</v>
      </c>
      <c r="C21" s="36"/>
      <c r="D21" s="19">
        <v>1E-3</v>
      </c>
      <c r="E21" s="15">
        <v>0.28000000000000003</v>
      </c>
      <c r="F21" s="15">
        <v>0.21</v>
      </c>
      <c r="G21" s="15">
        <v>0.20399999999999999</v>
      </c>
      <c r="H21" s="15">
        <v>0.374</v>
      </c>
      <c r="I21" s="15">
        <v>0.622</v>
      </c>
      <c r="J21" s="7">
        <v>8.7999999999999995E-2</v>
      </c>
      <c r="K21" s="7">
        <v>7.0000000000000001E-3</v>
      </c>
      <c r="L21" s="19" t="s">
        <v>58</v>
      </c>
      <c r="M21" s="6">
        <f t="shared" si="1"/>
        <v>1.7859999999999998</v>
      </c>
      <c r="N21" s="9"/>
      <c r="O21" s="1"/>
    </row>
    <row r="22" spans="1:15" ht="17.25">
      <c r="A22" s="36" t="s">
        <v>24</v>
      </c>
      <c r="B22" s="38" t="s">
        <v>43</v>
      </c>
      <c r="C22" s="36"/>
      <c r="D22" s="7">
        <v>0.17100000000000001</v>
      </c>
      <c r="E22" s="15">
        <v>102.675</v>
      </c>
      <c r="F22" s="15">
        <v>34.156999999999996</v>
      </c>
      <c r="G22" s="15">
        <v>15.012</v>
      </c>
      <c r="H22" s="15">
        <v>9.6880000000000006</v>
      </c>
      <c r="I22" s="15">
        <v>7.6779999999999999</v>
      </c>
      <c r="J22" s="7">
        <v>2.649</v>
      </c>
      <c r="K22" s="7">
        <v>1.3680000000000001</v>
      </c>
      <c r="L22" s="8">
        <v>0.35799999999999998</v>
      </c>
      <c r="M22" s="6">
        <f t="shared" si="1"/>
        <v>173.75599999999997</v>
      </c>
      <c r="N22" s="9"/>
      <c r="O22" s="1"/>
    </row>
    <row r="23" spans="1:15" ht="17.25">
      <c r="A23" s="36" t="s">
        <v>25</v>
      </c>
      <c r="B23" s="38" t="s">
        <v>43</v>
      </c>
      <c r="C23" s="36"/>
      <c r="D23" s="19" t="s">
        <v>58</v>
      </c>
      <c r="E23" s="15">
        <v>4.8330000000000002</v>
      </c>
      <c r="F23" s="15">
        <v>0.19</v>
      </c>
      <c r="G23" s="15">
        <v>0.06</v>
      </c>
      <c r="H23" s="15">
        <v>4.8000000000000001E-2</v>
      </c>
      <c r="I23" s="15">
        <v>3.9E-2</v>
      </c>
      <c r="J23" s="7">
        <v>5.0000000000000001E-3</v>
      </c>
      <c r="K23" s="7">
        <v>0</v>
      </c>
      <c r="L23" s="19" t="s">
        <v>58</v>
      </c>
      <c r="M23" s="6">
        <f t="shared" si="1"/>
        <v>5.1749999999999998</v>
      </c>
      <c r="N23" s="9"/>
      <c r="O23" s="1"/>
    </row>
    <row r="24" spans="1:15" ht="17.25">
      <c r="A24" s="36" t="s">
        <v>26</v>
      </c>
      <c r="B24" s="38" t="s">
        <v>43</v>
      </c>
      <c r="C24" s="36"/>
      <c r="D24" s="19" t="s">
        <v>58</v>
      </c>
      <c r="E24" s="15">
        <v>5.8049999999999997</v>
      </c>
      <c r="F24" s="15">
        <v>8.2639999999999993</v>
      </c>
      <c r="G24" s="15">
        <v>7.306</v>
      </c>
      <c r="H24" s="15">
        <v>11.272</v>
      </c>
      <c r="I24" s="15">
        <v>11.448</v>
      </c>
      <c r="J24" s="7">
        <v>1.577</v>
      </c>
      <c r="K24" s="7">
        <v>0.26900000000000002</v>
      </c>
      <c r="L24" s="8">
        <v>8.0000000000000002E-3</v>
      </c>
      <c r="M24" s="6">
        <f t="shared" si="1"/>
        <v>45.948999999999998</v>
      </c>
      <c r="N24" s="9"/>
      <c r="O24" s="1"/>
    </row>
    <row r="25" spans="1:15" ht="17.25">
      <c r="A25" s="36" t="s">
        <v>27</v>
      </c>
      <c r="B25" s="38" t="s">
        <v>43</v>
      </c>
      <c r="C25" s="36"/>
      <c r="D25" s="7">
        <v>0.01</v>
      </c>
      <c r="E25" s="15">
        <v>34.646000000000001</v>
      </c>
      <c r="F25" s="15">
        <v>29.239000000000001</v>
      </c>
      <c r="G25" s="15">
        <v>24.03</v>
      </c>
      <c r="H25" s="15">
        <v>15.451000000000001</v>
      </c>
      <c r="I25" s="15">
        <v>5.0309999999999997</v>
      </c>
      <c r="J25" s="7">
        <v>0.35099999999999998</v>
      </c>
      <c r="K25" s="7">
        <v>7.6999999999999999E-2</v>
      </c>
      <c r="L25" s="8">
        <v>5.0000000000000001E-3</v>
      </c>
      <c r="M25" s="6">
        <f t="shared" si="1"/>
        <v>108.84</v>
      </c>
      <c r="N25" s="9"/>
      <c r="O25" s="1"/>
    </row>
    <row r="26" spans="1:15" ht="17.25">
      <c r="A26" s="36" t="s">
        <v>28</v>
      </c>
      <c r="B26" s="38" t="s">
        <v>43</v>
      </c>
      <c r="C26" s="36"/>
      <c r="D26" s="7">
        <v>0.23899999999999999</v>
      </c>
      <c r="E26" s="15">
        <v>938.84199999999998</v>
      </c>
      <c r="F26" s="15">
        <v>250.983</v>
      </c>
      <c r="G26" s="15">
        <v>105.874</v>
      </c>
      <c r="H26" s="15">
        <v>38.606000000000002</v>
      </c>
      <c r="I26" s="15">
        <v>9.8369999999999997</v>
      </c>
      <c r="J26" s="7">
        <v>2.0760000000000001</v>
      </c>
      <c r="K26" s="7">
        <v>0.90400000000000003</v>
      </c>
      <c r="L26" s="8">
        <v>0.09</v>
      </c>
      <c r="M26" s="6">
        <f t="shared" si="1"/>
        <v>1347.451</v>
      </c>
      <c r="N26" s="9"/>
      <c r="O26" s="1"/>
    </row>
    <row r="27" spans="1:15" ht="17.25">
      <c r="A27" s="36" t="s">
        <v>29</v>
      </c>
      <c r="B27" s="38" t="s">
        <v>43</v>
      </c>
      <c r="C27" s="36"/>
      <c r="D27" s="7">
        <v>0.189</v>
      </c>
      <c r="E27" s="15">
        <v>132.02099999999999</v>
      </c>
      <c r="F27" s="15">
        <v>17.36</v>
      </c>
      <c r="G27" s="15">
        <v>8.7490000000000006</v>
      </c>
      <c r="H27" s="15">
        <v>6.3419999999999996</v>
      </c>
      <c r="I27" s="15">
        <v>4.3109999999999999</v>
      </c>
      <c r="J27" s="7">
        <v>1.522</v>
      </c>
      <c r="K27" s="7">
        <v>0.71899999999999997</v>
      </c>
      <c r="L27" s="8">
        <v>0.04</v>
      </c>
      <c r="M27" s="6">
        <f t="shared" si="1"/>
        <v>171.25299999999999</v>
      </c>
      <c r="N27" s="9"/>
      <c r="O27" s="1"/>
    </row>
    <row r="28" spans="1:15" ht="17.25">
      <c r="A28" s="36" t="s">
        <v>30</v>
      </c>
      <c r="B28" s="38" t="s">
        <v>43</v>
      </c>
      <c r="C28" s="36"/>
      <c r="D28" s="7">
        <v>0.191</v>
      </c>
      <c r="E28" s="15">
        <v>760.36800000000005</v>
      </c>
      <c r="F28" s="15">
        <v>42.4</v>
      </c>
      <c r="G28" s="15">
        <v>18.715</v>
      </c>
      <c r="H28" s="15">
        <v>10.589</v>
      </c>
      <c r="I28" s="15">
        <v>7.5039999999999996</v>
      </c>
      <c r="J28" s="7">
        <v>2.661</v>
      </c>
      <c r="K28" s="7">
        <v>1.73</v>
      </c>
      <c r="L28" s="8">
        <v>0.32400000000000001</v>
      </c>
      <c r="M28" s="6">
        <f t="shared" si="1"/>
        <v>844.48200000000008</v>
      </c>
      <c r="N28" s="9"/>
      <c r="O28" s="1"/>
    </row>
    <row r="29" spans="1:15" ht="17.25">
      <c r="A29" s="36" t="s">
        <v>31</v>
      </c>
      <c r="B29" s="38" t="s">
        <v>43</v>
      </c>
      <c r="C29" s="36"/>
      <c r="D29" s="7">
        <v>8.0000000000000002E-3</v>
      </c>
      <c r="E29" s="15">
        <v>39.206000000000003</v>
      </c>
      <c r="F29" s="15">
        <v>11.595000000000001</v>
      </c>
      <c r="G29" s="15">
        <v>3.8519999999999999</v>
      </c>
      <c r="H29" s="15">
        <v>1.387</v>
      </c>
      <c r="I29" s="15">
        <v>0.435</v>
      </c>
      <c r="J29" s="7">
        <v>3.6999999999999998E-2</v>
      </c>
      <c r="K29" s="7">
        <v>8.9999999999999993E-3</v>
      </c>
      <c r="L29" s="8">
        <v>0.01</v>
      </c>
      <c r="M29" s="6">
        <f t="shared" si="1"/>
        <v>56.539000000000001</v>
      </c>
      <c r="N29" s="9"/>
      <c r="O29" s="1"/>
    </row>
    <row r="30" spans="1:15" ht="17.25">
      <c r="A30" s="36" t="s">
        <v>32</v>
      </c>
      <c r="B30" s="38" t="s">
        <v>43</v>
      </c>
      <c r="C30" s="36"/>
      <c r="D30" s="19" t="s">
        <v>58</v>
      </c>
      <c r="E30" s="15">
        <v>11.013999999999999</v>
      </c>
      <c r="F30" s="15">
        <v>3.085</v>
      </c>
      <c r="G30" s="15">
        <v>1.3939999999999999</v>
      </c>
      <c r="H30" s="15">
        <v>0.93600000000000005</v>
      </c>
      <c r="I30" s="15">
        <v>0.91300000000000003</v>
      </c>
      <c r="J30" s="7">
        <v>0.50800000000000001</v>
      </c>
      <c r="K30" s="7">
        <v>0.67900000000000005</v>
      </c>
      <c r="L30" s="8">
        <v>0.38500000000000001</v>
      </c>
      <c r="M30" s="6">
        <f t="shared" si="1"/>
        <v>18.914000000000001</v>
      </c>
      <c r="N30" s="9"/>
      <c r="O30" s="1"/>
    </row>
    <row r="31" spans="1:15" ht="17.25">
      <c r="A31" s="36" t="s">
        <v>33</v>
      </c>
      <c r="B31" s="38" t="s">
        <v>43</v>
      </c>
      <c r="C31" s="36"/>
      <c r="D31" s="19">
        <v>1E-3</v>
      </c>
      <c r="E31" s="15">
        <v>10.834</v>
      </c>
      <c r="F31" s="15">
        <v>13.867000000000001</v>
      </c>
      <c r="G31" s="15">
        <v>11.362</v>
      </c>
      <c r="H31" s="15">
        <v>9.2270000000000003</v>
      </c>
      <c r="I31" s="15">
        <v>5.593</v>
      </c>
      <c r="J31" s="7">
        <v>0.88600000000000001</v>
      </c>
      <c r="K31" s="7">
        <v>0.19500000000000001</v>
      </c>
      <c r="L31" s="8">
        <v>4.0000000000000001E-3</v>
      </c>
      <c r="M31" s="6">
        <f t="shared" si="1"/>
        <v>51.969000000000001</v>
      </c>
      <c r="N31" s="9"/>
      <c r="O31" s="1"/>
    </row>
    <row r="32" spans="1:15" ht="17.25">
      <c r="A32" s="36" t="s">
        <v>34</v>
      </c>
      <c r="B32" s="38" t="s">
        <v>43</v>
      </c>
      <c r="C32" s="36"/>
      <c r="D32" s="7">
        <v>5.0000000000000001E-3</v>
      </c>
      <c r="E32" s="15">
        <v>21.658999999999999</v>
      </c>
      <c r="F32" s="15">
        <v>13.492000000000001</v>
      </c>
      <c r="G32" s="15">
        <v>7.7290000000000001</v>
      </c>
      <c r="H32" s="15">
        <v>6.8019999999999996</v>
      </c>
      <c r="I32" s="15">
        <v>6.8819999999999997</v>
      </c>
      <c r="J32" s="7">
        <v>2.2909999999999999</v>
      </c>
      <c r="K32" s="7">
        <v>0.60899999999999999</v>
      </c>
      <c r="L32" s="8">
        <v>2.1000000000000001E-2</v>
      </c>
      <c r="M32" s="6">
        <f t="shared" si="1"/>
        <v>59.489999999999995</v>
      </c>
      <c r="N32" s="9"/>
      <c r="O32" s="1"/>
    </row>
    <row r="33" spans="1:17" ht="17.25">
      <c r="A33" s="36" t="s">
        <v>35</v>
      </c>
      <c r="B33" s="38" t="s">
        <v>43</v>
      </c>
      <c r="C33" s="36"/>
      <c r="D33" s="7">
        <v>2.7E-2</v>
      </c>
      <c r="E33" s="15">
        <v>16.32</v>
      </c>
      <c r="F33" s="15">
        <v>28.568999999999999</v>
      </c>
      <c r="G33" s="15">
        <v>25.256</v>
      </c>
      <c r="H33" s="15">
        <v>28.277999999999999</v>
      </c>
      <c r="I33" s="15">
        <v>30.391999999999999</v>
      </c>
      <c r="J33" s="7">
        <v>10.478999999999999</v>
      </c>
      <c r="K33" s="7">
        <v>3.8719999999999999</v>
      </c>
      <c r="L33" s="8">
        <v>0.27300000000000002</v>
      </c>
      <c r="M33" s="6">
        <f t="shared" si="1"/>
        <v>143.46599999999998</v>
      </c>
      <c r="N33" s="9"/>
      <c r="O33" s="1"/>
    </row>
    <row r="34" spans="1:17" ht="17.25">
      <c r="A34" s="40" t="s">
        <v>6</v>
      </c>
      <c r="B34" s="38" t="s">
        <v>43</v>
      </c>
      <c r="C34" s="40"/>
      <c r="D34" s="13">
        <f>SUM(D5:D33)</f>
        <v>3.6939999999999991</v>
      </c>
      <c r="E34" s="12">
        <f t="shared" ref="E34:L34" si="2">SUM(E5:E33)</f>
        <v>3882.0420000000004</v>
      </c>
      <c r="F34" s="12">
        <f t="shared" si="2"/>
        <v>1081.4780000000001</v>
      </c>
      <c r="G34" s="12">
        <f t="shared" si="2"/>
        <v>613.69500000000005</v>
      </c>
      <c r="H34" s="12">
        <f t="shared" si="2"/>
        <v>458.94800000000004</v>
      </c>
      <c r="I34" s="12">
        <f t="shared" si="2"/>
        <v>372.89399999999995</v>
      </c>
      <c r="J34" s="13">
        <f t="shared" si="2"/>
        <v>91.355999999999995</v>
      </c>
      <c r="K34" s="13">
        <f t="shared" si="2"/>
        <v>29.143999999999998</v>
      </c>
      <c r="L34" s="13">
        <f t="shared" si="2"/>
        <v>4.4799999999999986</v>
      </c>
      <c r="M34" s="39">
        <f t="shared" si="1"/>
        <v>6537.7309999999998</v>
      </c>
      <c r="N34" s="9"/>
    </row>
    <row r="35" spans="1:17" ht="17.25">
      <c r="A35" s="20" t="s">
        <v>52</v>
      </c>
      <c r="B35" s="20"/>
      <c r="C35" s="20"/>
      <c r="D35" s="20"/>
      <c r="E35" s="20"/>
      <c r="F35" s="20"/>
      <c r="G35" s="20"/>
      <c r="H35" s="20"/>
      <c r="I35" s="20"/>
      <c r="J35" s="20"/>
      <c r="K35" s="21"/>
      <c r="L35" s="20"/>
      <c r="M35" s="20"/>
      <c r="O35" s="16"/>
    </row>
    <row r="36" spans="1:17" s="53" customFormat="1" ht="39.75" customHeight="1">
      <c r="A36" s="44" t="s">
        <v>5</v>
      </c>
      <c r="B36" s="49" t="s">
        <v>39</v>
      </c>
      <c r="C36" s="49" t="s">
        <v>40</v>
      </c>
      <c r="D36" s="50" t="s">
        <v>36</v>
      </c>
      <c r="E36" s="51" t="s">
        <v>44</v>
      </c>
      <c r="F36" s="51" t="s">
        <v>49</v>
      </c>
      <c r="G36" s="51" t="s">
        <v>50</v>
      </c>
      <c r="H36" s="51" t="s">
        <v>51</v>
      </c>
      <c r="I36" s="51" t="s">
        <v>48</v>
      </c>
      <c r="J36" s="51" t="s">
        <v>47</v>
      </c>
      <c r="K36" s="51" t="s">
        <v>46</v>
      </c>
      <c r="L36" s="51" t="s">
        <v>45</v>
      </c>
      <c r="M36" s="52" t="s">
        <v>37</v>
      </c>
    </row>
    <row r="37" spans="1:17" ht="17.25">
      <c r="A37" s="36" t="s">
        <v>8</v>
      </c>
      <c r="B37" s="38" t="s">
        <v>41</v>
      </c>
      <c r="C37" s="36"/>
      <c r="D37" s="23">
        <v>0.09</v>
      </c>
      <c r="E37" s="23">
        <v>18.14</v>
      </c>
      <c r="F37" s="23">
        <v>16.48</v>
      </c>
      <c r="G37" s="23">
        <v>16.559999999999999</v>
      </c>
      <c r="H37" s="23">
        <v>23.14</v>
      </c>
      <c r="I37" s="23">
        <v>21.5</v>
      </c>
      <c r="J37" s="24">
        <v>3.72</v>
      </c>
      <c r="K37" s="24">
        <v>0.36</v>
      </c>
      <c r="L37" s="24">
        <v>0</v>
      </c>
      <c r="M37" s="45">
        <f t="shared" ref="M37:M65" si="3">SUM(D37:L37)</f>
        <v>99.99</v>
      </c>
      <c r="N37" s="25"/>
      <c r="O37" s="26"/>
      <c r="P37" s="6"/>
      <c r="Q37" s="27"/>
    </row>
    <row r="38" spans="1:17" ht="17.25">
      <c r="A38" s="36" t="s">
        <v>9</v>
      </c>
      <c r="B38" s="38" t="s">
        <v>41</v>
      </c>
      <c r="C38" s="36"/>
      <c r="D38" s="23">
        <v>0</v>
      </c>
      <c r="E38" s="23">
        <v>46.91</v>
      </c>
      <c r="F38" s="23">
        <v>21.27</v>
      </c>
      <c r="G38" s="23">
        <v>13.65</v>
      </c>
      <c r="H38" s="23">
        <v>8.69</v>
      </c>
      <c r="I38" s="23">
        <v>4.92</v>
      </c>
      <c r="J38" s="24">
        <v>2.17</v>
      </c>
      <c r="K38" s="24">
        <v>2.04</v>
      </c>
      <c r="L38" s="24">
        <v>0.35</v>
      </c>
      <c r="M38" s="45">
        <f t="shared" si="3"/>
        <v>100</v>
      </c>
      <c r="N38" s="25"/>
      <c r="O38" s="27"/>
      <c r="P38" s="28"/>
    </row>
    <row r="39" spans="1:17" ht="17.25">
      <c r="A39" s="36" t="s">
        <v>10</v>
      </c>
      <c r="B39" s="38" t="s">
        <v>41</v>
      </c>
      <c r="C39" s="36"/>
      <c r="D39" s="23" t="s">
        <v>58</v>
      </c>
      <c r="E39" s="23">
        <v>38.6</v>
      </c>
      <c r="F39" s="23">
        <v>20.6</v>
      </c>
      <c r="G39" s="23">
        <v>12.3</v>
      </c>
      <c r="H39" s="23">
        <v>9.8000000000000007</v>
      </c>
      <c r="I39" s="23">
        <v>8.6</v>
      </c>
      <c r="J39" s="24">
        <v>3.5</v>
      </c>
      <c r="K39" s="24">
        <v>4.3</v>
      </c>
      <c r="L39" s="24">
        <v>2.29</v>
      </c>
      <c r="M39" s="45">
        <f t="shared" si="3"/>
        <v>99.99</v>
      </c>
      <c r="N39" s="25"/>
      <c r="O39" s="27"/>
      <c r="P39" s="28"/>
    </row>
    <row r="40" spans="1:17" ht="17.25">
      <c r="A40" s="36" t="s">
        <v>11</v>
      </c>
      <c r="B40" s="38" t="s">
        <v>41</v>
      </c>
      <c r="C40" s="36"/>
      <c r="D40" s="23">
        <v>0.04</v>
      </c>
      <c r="E40" s="23">
        <v>27.08</v>
      </c>
      <c r="F40" s="23">
        <v>20.85</v>
      </c>
      <c r="G40" s="23">
        <v>13.38</v>
      </c>
      <c r="H40" s="23">
        <v>11.57</v>
      </c>
      <c r="I40" s="23">
        <v>13.97</v>
      </c>
      <c r="J40" s="24">
        <v>8.84</v>
      </c>
      <c r="K40" s="24">
        <v>4.08</v>
      </c>
      <c r="L40" s="24">
        <v>0.19</v>
      </c>
      <c r="M40" s="45">
        <f t="shared" si="3"/>
        <v>100</v>
      </c>
      <c r="N40" s="25"/>
      <c r="O40" s="27"/>
    </row>
    <row r="41" spans="1:17" s="31" customFormat="1" ht="17.25">
      <c r="A41" s="37" t="s">
        <v>12</v>
      </c>
      <c r="B41" s="38" t="s">
        <v>41</v>
      </c>
      <c r="C41" s="37"/>
      <c r="D41" s="29">
        <v>0.09</v>
      </c>
      <c r="E41" s="29">
        <v>24.69</v>
      </c>
      <c r="F41" s="29">
        <v>19.62</v>
      </c>
      <c r="G41" s="29">
        <v>17.27</v>
      </c>
      <c r="H41" s="29">
        <v>18.57</v>
      </c>
      <c r="I41" s="29">
        <v>15.23</v>
      </c>
      <c r="J41" s="30">
        <v>2.87</v>
      </c>
      <c r="K41" s="30">
        <v>1.3</v>
      </c>
      <c r="L41" s="30">
        <v>0.38</v>
      </c>
      <c r="M41" s="46">
        <f t="shared" si="3"/>
        <v>100.02000000000001</v>
      </c>
      <c r="N41" s="25"/>
      <c r="O41" s="27"/>
    </row>
    <row r="42" spans="1:17" ht="17.25">
      <c r="A42" s="36" t="s">
        <v>13</v>
      </c>
      <c r="B42" s="38" t="s">
        <v>41</v>
      </c>
      <c r="C42" s="36"/>
      <c r="D42" s="23" t="s">
        <v>58</v>
      </c>
      <c r="E42" s="23">
        <v>63.15</v>
      </c>
      <c r="F42" s="23">
        <v>15.06</v>
      </c>
      <c r="G42" s="23">
        <v>8.08</v>
      </c>
      <c r="H42" s="23">
        <v>5.54</v>
      </c>
      <c r="I42" s="23">
        <v>5.04</v>
      </c>
      <c r="J42" s="24">
        <v>1.92</v>
      </c>
      <c r="K42" s="24">
        <v>1.1100000000000001</v>
      </c>
      <c r="L42" s="24">
        <v>0.11</v>
      </c>
      <c r="M42" s="45">
        <f t="shared" si="3"/>
        <v>100.01</v>
      </c>
      <c r="N42" s="25"/>
      <c r="O42" s="27"/>
    </row>
    <row r="43" spans="1:17" ht="17.25">
      <c r="A43" s="36" t="s">
        <v>14</v>
      </c>
      <c r="B43" s="38" t="s">
        <v>41</v>
      </c>
      <c r="C43" s="36"/>
      <c r="D43" s="23">
        <v>0.01</v>
      </c>
      <c r="E43" s="23">
        <v>15.65</v>
      </c>
      <c r="F43" s="23">
        <v>26.61</v>
      </c>
      <c r="G43" s="23">
        <v>26.25</v>
      </c>
      <c r="H43" s="23">
        <v>19.899999999999999</v>
      </c>
      <c r="I43" s="23">
        <v>10.220000000000001</v>
      </c>
      <c r="J43" s="24">
        <v>1.2</v>
      </c>
      <c r="K43" s="24">
        <v>0.16</v>
      </c>
      <c r="L43" s="23" t="s">
        <v>58</v>
      </c>
      <c r="M43" s="45">
        <f t="shared" si="3"/>
        <v>99.999999999999986</v>
      </c>
      <c r="N43" s="25"/>
      <c r="O43" s="27"/>
    </row>
    <row r="44" spans="1:17" ht="17.25">
      <c r="A44" s="36" t="s">
        <v>15</v>
      </c>
      <c r="B44" s="38" t="s">
        <v>41</v>
      </c>
      <c r="C44" s="36"/>
      <c r="D44" s="23">
        <v>0</v>
      </c>
      <c r="E44" s="23">
        <v>60.89</v>
      </c>
      <c r="F44" s="23">
        <v>21.84</v>
      </c>
      <c r="G44" s="23">
        <v>10.64</v>
      </c>
      <c r="H44" s="23">
        <v>4.8499999999999996</v>
      </c>
      <c r="I44" s="23">
        <v>1.62</v>
      </c>
      <c r="J44" s="24">
        <v>0.15</v>
      </c>
      <c r="K44" s="24">
        <v>0</v>
      </c>
      <c r="L44" s="23" t="s">
        <v>58</v>
      </c>
      <c r="M44" s="45">
        <f t="shared" si="3"/>
        <v>99.990000000000009</v>
      </c>
      <c r="N44" s="25"/>
      <c r="O44" s="27"/>
    </row>
    <row r="45" spans="1:17" ht="17.25">
      <c r="A45" s="36" t="s">
        <v>16</v>
      </c>
      <c r="B45" s="38" t="s">
        <v>41</v>
      </c>
      <c r="C45" s="36"/>
      <c r="D45" s="23">
        <v>0.05</v>
      </c>
      <c r="E45" s="23">
        <v>52.27</v>
      </c>
      <c r="F45" s="23">
        <v>19.05</v>
      </c>
      <c r="G45" s="23">
        <v>11.06</v>
      </c>
      <c r="H45" s="23">
        <v>8.9499999999999993</v>
      </c>
      <c r="I45" s="23">
        <v>6.72</v>
      </c>
      <c r="J45" s="24">
        <v>1.4</v>
      </c>
      <c r="K45" s="24">
        <v>0.44</v>
      </c>
      <c r="L45" s="24">
        <v>0.04</v>
      </c>
      <c r="M45" s="45">
        <f t="shared" si="3"/>
        <v>99.980000000000018</v>
      </c>
      <c r="N45" s="25"/>
      <c r="O45" s="27"/>
    </row>
    <row r="46" spans="1:17" ht="17.25">
      <c r="A46" s="36" t="s">
        <v>17</v>
      </c>
      <c r="B46" s="38" t="s">
        <v>41</v>
      </c>
      <c r="C46" s="36"/>
      <c r="D46" s="23">
        <v>0.28000000000000003</v>
      </c>
      <c r="E46" s="23">
        <v>19.13</v>
      </c>
      <c r="F46" s="23">
        <v>9.94</v>
      </c>
      <c r="G46" s="23">
        <v>10.18</v>
      </c>
      <c r="H46" s="23">
        <v>18.920000000000002</v>
      </c>
      <c r="I46" s="23">
        <v>32.340000000000003</v>
      </c>
      <c r="J46" s="24">
        <v>8.2799999999999994</v>
      </c>
      <c r="K46" s="24">
        <v>0.91</v>
      </c>
      <c r="L46" s="24">
        <v>0.03</v>
      </c>
      <c r="M46" s="45">
        <f t="shared" si="3"/>
        <v>100.01</v>
      </c>
      <c r="N46" s="25"/>
      <c r="O46" s="27"/>
    </row>
    <row r="47" spans="1:17" ht="17.25">
      <c r="A47" s="36" t="s">
        <v>18</v>
      </c>
      <c r="B47" s="38" t="s">
        <v>41</v>
      </c>
      <c r="C47" s="36"/>
      <c r="D47" s="23">
        <v>0.23</v>
      </c>
      <c r="E47" s="23">
        <v>82.93</v>
      </c>
      <c r="F47" s="23">
        <v>9.56</v>
      </c>
      <c r="G47" s="23">
        <v>4.32</v>
      </c>
      <c r="H47" s="23">
        <v>2.0699999999999998</v>
      </c>
      <c r="I47" s="23">
        <v>0.69</v>
      </c>
      <c r="J47" s="24">
        <v>0.11</v>
      </c>
      <c r="K47" s="24">
        <v>0.06</v>
      </c>
      <c r="L47" s="24">
        <v>0.02</v>
      </c>
      <c r="M47" s="45">
        <f t="shared" si="3"/>
        <v>99.990000000000009</v>
      </c>
      <c r="N47" s="25"/>
      <c r="O47" s="27"/>
    </row>
    <row r="48" spans="1:17" ht="17.25">
      <c r="A48" s="36" t="s">
        <v>19</v>
      </c>
      <c r="B48" s="38" t="s">
        <v>41</v>
      </c>
      <c r="C48" s="36"/>
      <c r="D48" s="23">
        <v>0.08</v>
      </c>
      <c r="E48" s="23">
        <v>65.040000000000006</v>
      </c>
      <c r="F48" s="23">
        <v>17.190000000000001</v>
      </c>
      <c r="G48" s="23">
        <v>8.4499999999999993</v>
      </c>
      <c r="H48" s="23">
        <v>5.0599999999999996</v>
      </c>
      <c r="I48" s="23">
        <v>2.96</v>
      </c>
      <c r="J48" s="24">
        <v>0.84</v>
      </c>
      <c r="K48" s="24">
        <v>0.34</v>
      </c>
      <c r="L48" s="24">
        <v>0.03</v>
      </c>
      <c r="M48" s="45">
        <f t="shared" si="3"/>
        <v>99.990000000000009</v>
      </c>
      <c r="N48" s="25"/>
      <c r="O48" s="27"/>
    </row>
    <row r="49" spans="1:20" ht="17.25">
      <c r="A49" s="36" t="s">
        <v>20</v>
      </c>
      <c r="B49" s="38" t="s">
        <v>41</v>
      </c>
      <c r="C49" s="36"/>
      <c r="D49" s="23">
        <v>0.21</v>
      </c>
      <c r="E49" s="23">
        <v>85.99</v>
      </c>
      <c r="F49" s="23">
        <v>8.36</v>
      </c>
      <c r="G49" s="23">
        <v>2.78</v>
      </c>
      <c r="H49" s="23">
        <v>1.61</v>
      </c>
      <c r="I49" s="23">
        <v>0.86</v>
      </c>
      <c r="J49" s="24">
        <v>0.16</v>
      </c>
      <c r="K49" s="24">
        <v>0.04</v>
      </c>
      <c r="L49" s="23" t="s">
        <v>58</v>
      </c>
      <c r="M49" s="45">
        <f t="shared" si="3"/>
        <v>100.00999999999999</v>
      </c>
      <c r="N49" s="25"/>
      <c r="O49" s="27"/>
    </row>
    <row r="50" spans="1:20" ht="17.25">
      <c r="A50" s="36" t="s">
        <v>21</v>
      </c>
      <c r="B50" s="38" t="s">
        <v>41</v>
      </c>
      <c r="C50" s="36"/>
      <c r="D50" s="23" t="s">
        <v>58</v>
      </c>
      <c r="E50" s="23">
        <v>77.239999999999995</v>
      </c>
      <c r="F50" s="23">
        <v>11.58</v>
      </c>
      <c r="G50" s="23">
        <v>4.9800000000000004</v>
      </c>
      <c r="H50" s="23">
        <v>3.08</v>
      </c>
      <c r="I50" s="23">
        <v>2.11</v>
      </c>
      <c r="J50" s="24">
        <v>0.65</v>
      </c>
      <c r="K50" s="24">
        <v>0.35</v>
      </c>
      <c r="L50" s="24">
        <v>0.03</v>
      </c>
      <c r="M50" s="45">
        <f t="shared" si="3"/>
        <v>100.02</v>
      </c>
      <c r="N50" s="25"/>
      <c r="O50" s="27"/>
      <c r="T50" s="27"/>
    </row>
    <row r="51" spans="1:20" ht="17.25">
      <c r="A51" s="36" t="s">
        <v>22</v>
      </c>
      <c r="B51" s="38" t="s">
        <v>41</v>
      </c>
      <c r="C51" s="36"/>
      <c r="D51" s="23">
        <v>0.08</v>
      </c>
      <c r="E51" s="23">
        <v>71.83</v>
      </c>
      <c r="F51" s="23">
        <v>14.99</v>
      </c>
      <c r="G51" s="23">
        <v>6.54</v>
      </c>
      <c r="H51" s="23">
        <v>3.95</v>
      </c>
      <c r="I51" s="23">
        <v>2.02</v>
      </c>
      <c r="J51" s="24">
        <v>0.41</v>
      </c>
      <c r="K51" s="24">
        <v>0.15</v>
      </c>
      <c r="L51" s="24">
        <v>0.02</v>
      </c>
      <c r="M51" s="45">
        <f t="shared" si="3"/>
        <v>99.99</v>
      </c>
      <c r="N51" s="25"/>
      <c r="O51" s="27"/>
    </row>
    <row r="52" spans="1:20" ht="17.25">
      <c r="A52" s="36" t="s">
        <v>23</v>
      </c>
      <c r="B52" s="38" t="s">
        <v>41</v>
      </c>
      <c r="C52" s="36"/>
      <c r="D52" s="23">
        <v>0.06</v>
      </c>
      <c r="E52" s="23">
        <v>15.68</v>
      </c>
      <c r="F52" s="23">
        <v>11.76</v>
      </c>
      <c r="G52" s="23">
        <v>11.42</v>
      </c>
      <c r="H52" s="23">
        <v>20.94</v>
      </c>
      <c r="I52" s="23">
        <v>34.83</v>
      </c>
      <c r="J52" s="24">
        <v>4.93</v>
      </c>
      <c r="K52" s="24">
        <v>0.39</v>
      </c>
      <c r="L52" s="23" t="s">
        <v>58</v>
      </c>
      <c r="M52" s="45">
        <f t="shared" si="3"/>
        <v>100.01</v>
      </c>
      <c r="N52" s="25"/>
      <c r="O52" s="27"/>
    </row>
    <row r="53" spans="1:20" ht="17.25">
      <c r="A53" s="36" t="s">
        <v>24</v>
      </c>
      <c r="B53" s="38" t="s">
        <v>41</v>
      </c>
      <c r="C53" s="36"/>
      <c r="D53" s="23">
        <v>0.1</v>
      </c>
      <c r="E53" s="23">
        <v>59.09</v>
      </c>
      <c r="F53" s="23">
        <v>19.66</v>
      </c>
      <c r="G53" s="23">
        <v>8.64</v>
      </c>
      <c r="H53" s="23">
        <v>5.58</v>
      </c>
      <c r="I53" s="23">
        <v>4.42</v>
      </c>
      <c r="J53" s="24">
        <v>1.52</v>
      </c>
      <c r="K53" s="24">
        <v>0.79</v>
      </c>
      <c r="L53" s="24">
        <v>0.2</v>
      </c>
      <c r="M53" s="45">
        <f t="shared" si="3"/>
        <v>100.00000000000001</v>
      </c>
      <c r="N53" s="25"/>
      <c r="O53" s="27"/>
      <c r="P53" s="28"/>
    </row>
    <row r="54" spans="1:20" ht="17.25">
      <c r="A54" s="36" t="s">
        <v>25</v>
      </c>
      <c r="B54" s="38" t="s">
        <v>41</v>
      </c>
      <c r="C54" s="36"/>
      <c r="D54" s="23" t="s">
        <v>58</v>
      </c>
      <c r="E54" s="23">
        <v>93.39</v>
      </c>
      <c r="F54" s="23">
        <v>3.67</v>
      </c>
      <c r="G54" s="23">
        <v>1.1599999999999999</v>
      </c>
      <c r="H54" s="23">
        <v>0.93</v>
      </c>
      <c r="I54" s="23">
        <v>0.75</v>
      </c>
      <c r="J54" s="24">
        <v>0.1</v>
      </c>
      <c r="K54" s="23" t="s">
        <v>58</v>
      </c>
      <c r="L54" s="23" t="s">
        <v>58</v>
      </c>
      <c r="M54" s="45">
        <f t="shared" si="3"/>
        <v>100</v>
      </c>
      <c r="N54" s="25"/>
      <c r="O54" s="27"/>
      <c r="P54" s="28"/>
    </row>
    <row r="55" spans="1:20" ht="17.25">
      <c r="A55" s="36" t="s">
        <v>26</v>
      </c>
      <c r="B55" s="38" t="s">
        <v>41</v>
      </c>
      <c r="C55" s="36"/>
      <c r="D55" s="23" t="s">
        <v>58</v>
      </c>
      <c r="E55" s="23">
        <v>12.63</v>
      </c>
      <c r="F55" s="23">
        <v>17.989999999999998</v>
      </c>
      <c r="G55" s="23">
        <v>15.9</v>
      </c>
      <c r="H55" s="23">
        <v>24.53</v>
      </c>
      <c r="I55" s="23">
        <v>24.91</v>
      </c>
      <c r="J55" s="24">
        <v>3.43</v>
      </c>
      <c r="K55" s="24">
        <v>0.57999999999999996</v>
      </c>
      <c r="L55" s="24">
        <v>0.01</v>
      </c>
      <c r="M55" s="45">
        <f t="shared" si="3"/>
        <v>99.98</v>
      </c>
      <c r="N55" s="25"/>
      <c r="O55" s="27"/>
      <c r="P55" s="28"/>
    </row>
    <row r="56" spans="1:20" ht="17.25">
      <c r="A56" s="36" t="s">
        <v>27</v>
      </c>
      <c r="B56" s="38" t="s">
        <v>41</v>
      </c>
      <c r="C56" s="36"/>
      <c r="D56" s="23">
        <v>0.01</v>
      </c>
      <c r="E56" s="23">
        <v>31.84</v>
      </c>
      <c r="F56" s="23">
        <v>26.86</v>
      </c>
      <c r="G56" s="23">
        <v>22.08</v>
      </c>
      <c r="H56" s="23">
        <v>14.2</v>
      </c>
      <c r="I56" s="23">
        <v>4.62</v>
      </c>
      <c r="J56" s="24">
        <v>0.32</v>
      </c>
      <c r="K56" s="24">
        <v>0.08</v>
      </c>
      <c r="L56" s="24">
        <v>0</v>
      </c>
      <c r="M56" s="45">
        <f t="shared" si="3"/>
        <v>100.00999999999999</v>
      </c>
      <c r="N56" s="25"/>
      <c r="O56" s="27"/>
      <c r="P56" s="28"/>
    </row>
    <row r="57" spans="1:20" ht="17.25">
      <c r="A57" s="36" t="s">
        <v>28</v>
      </c>
      <c r="B57" s="38" t="s">
        <v>41</v>
      </c>
      <c r="C57" s="36"/>
      <c r="D57" s="23">
        <v>0.02</v>
      </c>
      <c r="E57" s="23">
        <v>69.680000000000007</v>
      </c>
      <c r="F57" s="23">
        <v>18.63</v>
      </c>
      <c r="G57" s="23">
        <v>7.86</v>
      </c>
      <c r="H57" s="23">
        <v>2.87</v>
      </c>
      <c r="I57" s="23">
        <v>0.73</v>
      </c>
      <c r="J57" s="24">
        <v>0.15</v>
      </c>
      <c r="K57" s="24">
        <v>7.0000000000000007E-2</v>
      </c>
      <c r="L57" s="24">
        <v>0.01</v>
      </c>
      <c r="M57" s="45">
        <f t="shared" si="3"/>
        <v>100.02000000000001</v>
      </c>
      <c r="N57" s="25"/>
      <c r="O57" s="27"/>
    </row>
    <row r="58" spans="1:20" ht="17.25">
      <c r="A58" s="36" t="s">
        <v>29</v>
      </c>
      <c r="B58" s="38" t="s">
        <v>41</v>
      </c>
      <c r="C58" s="36"/>
      <c r="D58" s="23">
        <v>0.11</v>
      </c>
      <c r="E58" s="23">
        <v>77.09</v>
      </c>
      <c r="F58" s="23">
        <v>10.14</v>
      </c>
      <c r="G58" s="23">
        <v>5.1100000000000003</v>
      </c>
      <c r="H58" s="23">
        <v>3.7</v>
      </c>
      <c r="I58" s="23">
        <v>2.52</v>
      </c>
      <c r="J58" s="24">
        <v>0.89</v>
      </c>
      <c r="K58" s="24">
        <v>0.42</v>
      </c>
      <c r="L58" s="24">
        <v>0.02</v>
      </c>
      <c r="M58" s="45">
        <f t="shared" si="3"/>
        <v>100</v>
      </c>
      <c r="N58" s="25"/>
      <c r="O58" s="27"/>
      <c r="P58" s="28"/>
    </row>
    <row r="59" spans="1:20" ht="17.25">
      <c r="A59" s="36" t="s">
        <v>30</v>
      </c>
      <c r="B59" s="38" t="s">
        <v>41</v>
      </c>
      <c r="C59" s="36"/>
      <c r="D59" s="23">
        <v>0.02</v>
      </c>
      <c r="E59" s="23">
        <v>90.04</v>
      </c>
      <c r="F59" s="23">
        <v>5.0199999999999996</v>
      </c>
      <c r="G59" s="23">
        <v>2.2200000000000002</v>
      </c>
      <c r="H59" s="23">
        <v>1.25</v>
      </c>
      <c r="I59" s="23">
        <v>0.89</v>
      </c>
      <c r="J59" s="24">
        <v>0.32</v>
      </c>
      <c r="K59" s="24">
        <v>0.21</v>
      </c>
      <c r="L59" s="24">
        <v>0.03</v>
      </c>
      <c r="M59" s="45">
        <f t="shared" si="3"/>
        <v>99.999999999999986</v>
      </c>
      <c r="N59" s="25"/>
      <c r="O59" s="27"/>
      <c r="P59" s="28"/>
    </row>
    <row r="60" spans="1:20" ht="17.25">
      <c r="A60" s="36" t="s">
        <v>31</v>
      </c>
      <c r="B60" s="38" t="s">
        <v>41</v>
      </c>
      <c r="C60" s="36"/>
      <c r="D60" s="23">
        <v>0.01</v>
      </c>
      <c r="E60" s="23">
        <v>69.34</v>
      </c>
      <c r="F60" s="23">
        <v>20.51</v>
      </c>
      <c r="G60" s="23">
        <v>6.81</v>
      </c>
      <c r="H60" s="23">
        <v>2.4500000000000002</v>
      </c>
      <c r="I60" s="23">
        <v>0.77</v>
      </c>
      <c r="J60" s="24">
        <v>7.0000000000000007E-2</v>
      </c>
      <c r="K60" s="24">
        <v>0.02</v>
      </c>
      <c r="L60" s="24">
        <v>0.02</v>
      </c>
      <c r="M60" s="45">
        <f t="shared" si="3"/>
        <v>100</v>
      </c>
      <c r="N60" s="25"/>
      <c r="O60" s="27"/>
      <c r="P60" s="28"/>
    </row>
    <row r="61" spans="1:20" ht="17.25">
      <c r="A61" s="36" t="s">
        <v>32</v>
      </c>
      <c r="B61" s="38" t="s">
        <v>41</v>
      </c>
      <c r="C61" s="36"/>
      <c r="D61" s="23" t="s">
        <v>58</v>
      </c>
      <c r="E61" s="23">
        <v>58.23</v>
      </c>
      <c r="F61" s="23">
        <v>16.309999999999999</v>
      </c>
      <c r="G61" s="23">
        <v>7.37</v>
      </c>
      <c r="H61" s="23">
        <v>4.95</v>
      </c>
      <c r="I61" s="23">
        <v>4.83</v>
      </c>
      <c r="J61" s="24">
        <v>2.69</v>
      </c>
      <c r="K61" s="24">
        <v>3.59</v>
      </c>
      <c r="L61" s="24">
        <v>2.0299999999999998</v>
      </c>
      <c r="M61" s="45">
        <f t="shared" si="3"/>
        <v>100</v>
      </c>
      <c r="N61" s="25"/>
      <c r="O61" s="27"/>
      <c r="P61" s="28"/>
    </row>
    <row r="62" spans="1:20" ht="17.25">
      <c r="A62" s="36" t="s">
        <v>33</v>
      </c>
      <c r="B62" s="38" t="s">
        <v>41</v>
      </c>
      <c r="C62" s="36"/>
      <c r="D62" s="23">
        <v>0</v>
      </c>
      <c r="E62" s="23">
        <v>20.84</v>
      </c>
      <c r="F62" s="23">
        <v>26.68</v>
      </c>
      <c r="G62" s="23">
        <v>21.86</v>
      </c>
      <c r="H62" s="23">
        <v>17.75</v>
      </c>
      <c r="I62" s="23">
        <v>10.76</v>
      </c>
      <c r="J62" s="24">
        <v>1.7</v>
      </c>
      <c r="K62" s="24">
        <v>0.37</v>
      </c>
      <c r="L62" s="24">
        <v>0.01</v>
      </c>
      <c r="M62" s="45">
        <f t="shared" si="3"/>
        <v>99.970000000000013</v>
      </c>
      <c r="N62" s="25"/>
      <c r="O62" s="27"/>
    </row>
    <row r="63" spans="1:20" ht="17.25">
      <c r="A63" s="36" t="s">
        <v>34</v>
      </c>
      <c r="B63" s="38" t="s">
        <v>41</v>
      </c>
      <c r="C63" s="36"/>
      <c r="D63" s="23">
        <v>0.01</v>
      </c>
      <c r="E63" s="23">
        <v>36.42</v>
      </c>
      <c r="F63" s="23">
        <v>22.68</v>
      </c>
      <c r="G63" s="23">
        <v>12.99</v>
      </c>
      <c r="H63" s="23">
        <v>11.43</v>
      </c>
      <c r="I63" s="23">
        <v>11.57</v>
      </c>
      <c r="J63" s="24">
        <v>3.85</v>
      </c>
      <c r="K63" s="24">
        <v>1.03</v>
      </c>
      <c r="L63" s="24">
        <v>0.04</v>
      </c>
      <c r="M63" s="45">
        <f t="shared" si="3"/>
        <v>100.02</v>
      </c>
      <c r="N63" s="25"/>
      <c r="O63" s="27"/>
    </row>
    <row r="64" spans="1:20" ht="17.25">
      <c r="A64" s="36" t="s">
        <v>35</v>
      </c>
      <c r="B64" s="38" t="s">
        <v>41</v>
      </c>
      <c r="C64" s="36"/>
      <c r="D64" s="23">
        <v>0.02</v>
      </c>
      <c r="E64" s="23">
        <v>11.37</v>
      </c>
      <c r="F64" s="23">
        <v>19.91</v>
      </c>
      <c r="G64" s="23">
        <v>17.600000000000001</v>
      </c>
      <c r="H64" s="23">
        <v>19.71</v>
      </c>
      <c r="I64" s="23">
        <v>21.18</v>
      </c>
      <c r="J64" s="24">
        <v>7.3</v>
      </c>
      <c r="K64" s="24">
        <v>2.7</v>
      </c>
      <c r="L64" s="24">
        <v>0.19</v>
      </c>
      <c r="M64" s="45">
        <f t="shared" si="3"/>
        <v>99.97999999999999</v>
      </c>
      <c r="N64" s="25"/>
      <c r="O64" s="27"/>
    </row>
    <row r="65" spans="1:15" ht="17.25">
      <c r="A65" s="37" t="s">
        <v>6</v>
      </c>
      <c r="B65" s="38" t="s">
        <v>41</v>
      </c>
      <c r="C65" s="37"/>
      <c r="D65" s="29">
        <v>0.06</v>
      </c>
      <c r="E65" s="29">
        <v>59.38</v>
      </c>
      <c r="F65" s="29">
        <v>16.54</v>
      </c>
      <c r="G65" s="29">
        <v>9.39</v>
      </c>
      <c r="H65" s="29">
        <v>7.02</v>
      </c>
      <c r="I65" s="29">
        <v>5.7</v>
      </c>
      <c r="J65" s="30">
        <v>1.4</v>
      </c>
      <c r="K65" s="30">
        <v>0.44</v>
      </c>
      <c r="L65" s="30">
        <v>7.0000000000000007E-2</v>
      </c>
      <c r="M65" s="46">
        <f t="shared" si="3"/>
        <v>100</v>
      </c>
      <c r="N65" s="27"/>
      <c r="O65" s="27"/>
    </row>
    <row r="66" spans="1:15" ht="17.25">
      <c r="A66" s="32" t="s">
        <v>68</v>
      </c>
      <c r="B66" s="32"/>
      <c r="C66" s="32"/>
      <c r="D66" s="17"/>
      <c r="E66" s="17"/>
      <c r="F66" s="17"/>
      <c r="G66" s="17"/>
      <c r="H66" s="17"/>
      <c r="I66" s="17"/>
      <c r="J66" s="17"/>
      <c r="K66" s="17"/>
      <c r="L66" s="17"/>
      <c r="M66" s="34"/>
    </row>
    <row r="67" spans="1:15" ht="17.25">
      <c r="A67" s="32" t="s">
        <v>7</v>
      </c>
      <c r="B67" s="32"/>
      <c r="C67" s="32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5" s="17" customFormat="1">
      <c r="A68" s="33" t="s">
        <v>0</v>
      </c>
      <c r="B68" s="33"/>
      <c r="C68" s="33"/>
    </row>
  </sheetData>
  <pageMargins left="1.5748031496062993" right="1.6535433070866143" top="0.59055118110236227" bottom="2.2834645669291338" header="0.51181102362204722" footer="0.51181102362204722"/>
  <pageSetup paperSize="9" scale="97" orientation="portrait" r:id="rId1"/>
  <headerFooter alignWithMargins="0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8"/>
  <sheetViews>
    <sheetView zoomScaleNormal="100" workbookViewId="0"/>
  </sheetViews>
  <sheetFormatPr baseColWidth="10" defaultColWidth="9.140625" defaultRowHeight="16.5"/>
  <cols>
    <col min="1" max="1" width="16.85546875" style="4" customWidth="1"/>
    <col min="2" max="2" width="12.140625" style="4" customWidth="1"/>
    <col min="3" max="3" width="8.7109375" style="4" customWidth="1"/>
    <col min="4" max="4" width="21.140625" style="18" customWidth="1"/>
    <col min="5" max="13" width="21.140625" style="4" customWidth="1"/>
    <col min="14" max="16384" width="9.140625" style="4"/>
  </cols>
  <sheetData>
    <row r="1" spans="1:16" ht="17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ht="17.25">
      <c r="A2" s="20" t="s">
        <v>55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16"/>
    </row>
    <row r="3" spans="1:16">
      <c r="A3" s="20" t="s">
        <v>4</v>
      </c>
      <c r="B3" s="20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6">
      <c r="A4" s="20" t="s">
        <v>53</v>
      </c>
      <c r="B4" s="20"/>
      <c r="C4" s="20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6" ht="39.75" customHeight="1">
      <c r="A5" s="44" t="s">
        <v>5</v>
      </c>
      <c r="B5" s="47" t="s">
        <v>39</v>
      </c>
      <c r="C5" s="47" t="s">
        <v>40</v>
      </c>
      <c r="D5" s="41" t="s">
        <v>36</v>
      </c>
      <c r="E5" s="42" t="s">
        <v>44</v>
      </c>
      <c r="F5" s="42" t="s">
        <v>49</v>
      </c>
      <c r="G5" s="42" t="s">
        <v>50</v>
      </c>
      <c r="H5" s="42" t="s">
        <v>51</v>
      </c>
      <c r="I5" s="42" t="s">
        <v>48</v>
      </c>
      <c r="J5" s="42" t="s">
        <v>47</v>
      </c>
      <c r="K5" s="42" t="s">
        <v>46</v>
      </c>
      <c r="L5" s="42" t="s">
        <v>45</v>
      </c>
      <c r="M5" s="43" t="s">
        <v>37</v>
      </c>
    </row>
    <row r="6" spans="1:16" ht="17.25">
      <c r="A6" s="36" t="s">
        <v>8</v>
      </c>
      <c r="B6" s="38" t="s">
        <v>43</v>
      </c>
      <c r="C6" s="36"/>
      <c r="D6" s="5">
        <v>5.0000000000000001E-3</v>
      </c>
      <c r="E6" s="6">
        <v>5.9790000000000001</v>
      </c>
      <c r="F6" s="6">
        <v>5.5350000000000001</v>
      </c>
      <c r="G6" s="6">
        <v>5.5880000000000001</v>
      </c>
      <c r="H6" s="6">
        <v>7.9059999999999997</v>
      </c>
      <c r="I6" s="6">
        <v>7.7480000000000002</v>
      </c>
      <c r="J6" s="7">
        <v>1.375</v>
      </c>
      <c r="K6" s="7">
        <f>0.103+0.016+0.006</f>
        <v>0.125</v>
      </c>
      <c r="L6" s="8">
        <f>0.001</f>
        <v>1E-3</v>
      </c>
      <c r="M6" s="6">
        <v>34.262</v>
      </c>
      <c r="N6" s="9"/>
      <c r="O6" s="1"/>
      <c r="P6" s="6"/>
    </row>
    <row r="7" spans="1:16" ht="17.25">
      <c r="A7" s="36" t="s">
        <v>9</v>
      </c>
      <c r="B7" s="38" t="s">
        <v>43</v>
      </c>
      <c r="C7" s="36"/>
      <c r="D7" s="5">
        <v>1E-3</v>
      </c>
      <c r="E7" s="6">
        <v>33.475000000000001</v>
      </c>
      <c r="F7" s="6">
        <v>13.773</v>
      </c>
      <c r="G7" s="6">
        <v>8.9960000000000004</v>
      </c>
      <c r="H7" s="6">
        <v>5.234</v>
      </c>
      <c r="I7" s="6">
        <v>3.0510000000000002</v>
      </c>
      <c r="J7" s="7">
        <v>1.4419999999999999</v>
      </c>
      <c r="K7" s="7">
        <f>0.615+0.343+0.182+0.091</f>
        <v>1.2309999999999999</v>
      </c>
      <c r="L7" s="8">
        <f>0.145+0.051</f>
        <v>0.19599999999999998</v>
      </c>
      <c r="M7" s="6">
        <v>67.358999999999995</v>
      </c>
      <c r="N7" s="9"/>
      <c r="O7" s="1"/>
    </row>
    <row r="8" spans="1:16" ht="17.25">
      <c r="A8" s="36" t="s">
        <v>10</v>
      </c>
      <c r="B8" s="38" t="s">
        <v>43</v>
      </c>
      <c r="C8" s="36"/>
      <c r="D8" s="10" t="s">
        <v>59</v>
      </c>
      <c r="E8" s="6">
        <v>5.9790000000000001</v>
      </c>
      <c r="F8" s="6">
        <v>5.9870000000000001</v>
      </c>
      <c r="G8" s="6">
        <v>3.597</v>
      </c>
      <c r="H8" s="6">
        <v>2.8570000000000002</v>
      </c>
      <c r="I8" s="6">
        <v>2.4590000000000001</v>
      </c>
      <c r="J8" s="7">
        <v>1.0069999999999999</v>
      </c>
      <c r="K8" s="7">
        <f>0.498+0.339+0.243+0.19</f>
        <v>1.27</v>
      </c>
      <c r="L8" s="8">
        <f>0.413+0.274</f>
        <v>0.68700000000000006</v>
      </c>
      <c r="M8" s="6">
        <v>28.94</v>
      </c>
      <c r="N8" s="9"/>
      <c r="O8" s="1"/>
    </row>
    <row r="9" spans="1:16" ht="17.25">
      <c r="A9" s="36" t="s">
        <v>11</v>
      </c>
      <c r="B9" s="38" t="s">
        <v>43</v>
      </c>
      <c r="C9" s="36"/>
      <c r="D9" s="5">
        <v>8.8999999999999996E-2</v>
      </c>
      <c r="E9" s="6">
        <f>(111+6121+4710)/1000</f>
        <v>10.942</v>
      </c>
      <c r="F9" s="6">
        <v>8.6440000000000001</v>
      </c>
      <c r="G9" s="6">
        <v>5.4630000000000001</v>
      </c>
      <c r="H9" s="6">
        <v>4.7409999999999997</v>
      </c>
      <c r="I9" s="6">
        <v>5.8319999999999999</v>
      </c>
      <c r="J9" s="7">
        <v>3.6</v>
      </c>
      <c r="K9" s="7">
        <f>1.003+0.328+0.181+0.063</f>
        <v>1.575</v>
      </c>
      <c r="L9" s="8">
        <f>0.07+0.008</f>
        <v>7.8000000000000014E-2</v>
      </c>
      <c r="M9" s="6">
        <v>40.963999999999999</v>
      </c>
      <c r="N9" s="9"/>
      <c r="O9" s="1"/>
    </row>
    <row r="10" spans="1:16" ht="17.25">
      <c r="A10" s="37" t="s">
        <v>12</v>
      </c>
      <c r="B10" s="38" t="s">
        <v>43</v>
      </c>
      <c r="C10" s="37"/>
      <c r="D10" s="11">
        <v>3.4000000000000002E-2</v>
      </c>
      <c r="E10" s="12">
        <f>(14286+37196+27449)/1000</f>
        <v>78.930999999999997</v>
      </c>
      <c r="F10" s="12">
        <v>62.570999999999998</v>
      </c>
      <c r="G10" s="12">
        <v>5.4630000000000001</v>
      </c>
      <c r="H10" s="12">
        <v>60.482999999999997</v>
      </c>
      <c r="I10" s="12">
        <v>48.753</v>
      </c>
      <c r="J10" s="13">
        <v>8.8569999999999993</v>
      </c>
      <c r="K10" s="13">
        <f>1.998+0.949+0.71+0.471</f>
        <v>4.1280000000000001</v>
      </c>
      <c r="L10" s="14">
        <f>0.806+0.382</f>
        <v>1.1880000000000002</v>
      </c>
      <c r="M10" s="39">
        <v>321.322</v>
      </c>
      <c r="N10" s="9"/>
      <c r="O10" s="2"/>
    </row>
    <row r="11" spans="1:16" ht="17.25">
      <c r="A11" s="36" t="s">
        <v>13</v>
      </c>
      <c r="B11" s="38" t="s">
        <v>43</v>
      </c>
      <c r="C11" s="36"/>
      <c r="D11" s="19" t="s">
        <v>59</v>
      </c>
      <c r="E11" s="15">
        <f>(4558+4871+2022)/1000</f>
        <v>11.451000000000001</v>
      </c>
      <c r="F11" s="15">
        <v>2.48</v>
      </c>
      <c r="G11" s="15">
        <v>1.155</v>
      </c>
      <c r="H11" s="15">
        <v>0.86699999999999999</v>
      </c>
      <c r="I11" s="15">
        <v>0.77500000000000002</v>
      </c>
      <c r="J11" s="7">
        <v>0.27</v>
      </c>
      <c r="K11" s="7">
        <f>0.0108+0.042+0.016+0.013</f>
        <v>8.1799999999999998E-2</v>
      </c>
      <c r="L11" s="8">
        <v>1.4E-2</v>
      </c>
      <c r="M11" s="6">
        <v>17.190999999999999</v>
      </c>
      <c r="N11" s="9"/>
      <c r="O11" s="1"/>
    </row>
    <row r="12" spans="1:16" ht="17.25">
      <c r="A12" s="36" t="s">
        <v>14</v>
      </c>
      <c r="B12" s="38" t="s">
        <v>43</v>
      </c>
      <c r="C12" s="36"/>
      <c r="D12" s="7">
        <v>1.6E-2</v>
      </c>
      <c r="E12" s="15">
        <f>5.166+9.163+9.198</f>
        <v>23.527000000000001</v>
      </c>
      <c r="F12" s="15">
        <v>33.006</v>
      </c>
      <c r="G12" s="15">
        <v>31.942</v>
      </c>
      <c r="H12" s="15">
        <v>24.745000000000001</v>
      </c>
      <c r="I12" s="15">
        <v>12.768000000000001</v>
      </c>
      <c r="J12" s="7">
        <v>1.5249999999999999</v>
      </c>
      <c r="K12" s="7">
        <f>0.155+0.03+0.014</f>
        <v>0.19900000000000001</v>
      </c>
      <c r="L12" s="8" t="s">
        <v>59</v>
      </c>
      <c r="M12" s="6">
        <v>127.72799999999999</v>
      </c>
      <c r="N12" s="9"/>
      <c r="O12" s="1"/>
    </row>
    <row r="13" spans="1:16" ht="17.25">
      <c r="A13" s="36" t="s">
        <v>15</v>
      </c>
      <c r="B13" s="38" t="s">
        <v>43</v>
      </c>
      <c r="C13" s="36"/>
      <c r="D13" s="7">
        <v>5.6000000000000001E-2</v>
      </c>
      <c r="E13" s="15">
        <f>134.021+187.473+89.122</f>
        <v>410.61600000000004</v>
      </c>
      <c r="F13" s="15">
        <v>139.87200000000001</v>
      </c>
      <c r="G13" s="15">
        <v>69.206000000000003</v>
      </c>
      <c r="H13" s="15">
        <v>31.274000000000001</v>
      </c>
      <c r="I13" s="15">
        <v>10.784000000000001</v>
      </c>
      <c r="J13" s="7">
        <v>0.94199999999999995</v>
      </c>
      <c r="K13" s="7">
        <f>0.075+0.015+0.001</f>
        <v>9.0999999999999998E-2</v>
      </c>
      <c r="L13" s="8" t="s">
        <v>59</v>
      </c>
      <c r="M13" s="6">
        <v>662.84100000000001</v>
      </c>
      <c r="N13" s="9"/>
      <c r="O13" s="3"/>
    </row>
    <row r="14" spans="1:16" ht="17.25">
      <c r="A14" s="36" t="s">
        <v>16</v>
      </c>
      <c r="B14" s="38" t="s">
        <v>43</v>
      </c>
      <c r="C14" s="36"/>
      <c r="D14" s="7">
        <v>4.2999999999999997E-2</v>
      </c>
      <c r="E14" s="15">
        <f>194.21+173.676+85.166</f>
        <v>453.05199999999996</v>
      </c>
      <c r="F14" s="15">
        <v>141.012</v>
      </c>
      <c r="G14" s="15">
        <v>80.998000000000005</v>
      </c>
      <c r="H14" s="15">
        <v>65.281999999999996</v>
      </c>
      <c r="I14" s="15">
        <v>48.329000000000001</v>
      </c>
      <c r="J14" s="7">
        <v>10.051</v>
      </c>
      <c r="K14" s="7">
        <f>1.949+0.714+0.324+0.171</f>
        <v>3.1579999999999999</v>
      </c>
      <c r="L14" s="8">
        <f>0.22+0.089</f>
        <v>0.309</v>
      </c>
      <c r="M14" s="6">
        <v>802.23400000000004</v>
      </c>
      <c r="N14" s="9"/>
      <c r="O14" s="3"/>
    </row>
    <row r="15" spans="1:16" ht="17.25">
      <c r="A15" s="36" t="s">
        <v>17</v>
      </c>
      <c r="B15" s="38" t="s">
        <v>43</v>
      </c>
      <c r="C15" s="36"/>
      <c r="D15" s="7">
        <v>0.13600000000000001</v>
      </c>
      <c r="E15" s="15">
        <f>16.708+29.463+17.587</f>
        <v>63.757999999999996</v>
      </c>
      <c r="F15" s="15">
        <v>35.892000000000003</v>
      </c>
      <c r="G15" s="15">
        <v>36.866</v>
      </c>
      <c r="H15" s="15">
        <v>65.853999999999999</v>
      </c>
      <c r="I15" s="15">
        <v>107.423</v>
      </c>
      <c r="J15" s="7">
        <v>27.584</v>
      </c>
      <c r="K15" s="7">
        <f>2.289+0.354+0.087+0.035</f>
        <v>2.7650000000000006</v>
      </c>
      <c r="L15" s="8">
        <f>0.048+0.072</f>
        <v>0.12</v>
      </c>
      <c r="M15" s="6">
        <v>340.39800000000002</v>
      </c>
      <c r="N15" s="9"/>
      <c r="O15" s="3"/>
    </row>
    <row r="16" spans="1:16" ht="17.25">
      <c r="A16" s="36" t="s">
        <v>18</v>
      </c>
      <c r="B16" s="38" t="s">
        <v>43</v>
      </c>
      <c r="C16" s="36"/>
      <c r="D16" s="7">
        <v>0.371</v>
      </c>
      <c r="E16" s="15">
        <f>41.437+29.952+8.494</f>
        <v>79.882999999999996</v>
      </c>
      <c r="F16" s="15">
        <v>9.141</v>
      </c>
      <c r="G16" s="15">
        <v>4.0209999999999999</v>
      </c>
      <c r="H16" s="15">
        <v>1.7669999999999999</v>
      </c>
      <c r="I16" s="15">
        <v>0.57699999999999996</v>
      </c>
      <c r="J16" s="7">
        <v>9.0999999999999998E-2</v>
      </c>
      <c r="K16" s="7">
        <f>0.03+0.009+0.009+0.009</f>
        <v>5.7000000000000002E-2</v>
      </c>
      <c r="L16" s="8">
        <v>1.7000000000000001E-2</v>
      </c>
      <c r="M16" s="6">
        <v>95.924999999999997</v>
      </c>
      <c r="N16" s="9"/>
      <c r="O16" s="3"/>
    </row>
    <row r="17" spans="1:15" ht="17.25">
      <c r="A17" s="36" t="s">
        <v>19</v>
      </c>
      <c r="B17" s="38" t="s">
        <v>43</v>
      </c>
      <c r="C17" s="36"/>
      <c r="D17" s="7">
        <v>0.57099999999999995</v>
      </c>
      <c r="E17" s="15">
        <f>202.078+267.441+102.151</f>
        <v>571.66999999999996</v>
      </c>
      <c r="F17" s="15">
        <v>146.506</v>
      </c>
      <c r="G17" s="15">
        <v>70.885999999999996</v>
      </c>
      <c r="H17" s="15">
        <v>42.301000000000002</v>
      </c>
      <c r="I17" s="15">
        <v>25.145</v>
      </c>
      <c r="J17" s="7">
        <v>7.2439999999999998</v>
      </c>
      <c r="K17" s="7">
        <f>1.732+0.653+0.303+0.156</f>
        <v>2.8439999999999999</v>
      </c>
      <c r="L17" s="8">
        <f>0.204+0.08</f>
        <v>0.28399999999999997</v>
      </c>
      <c r="M17" s="6">
        <v>867.45100000000002</v>
      </c>
      <c r="N17" s="9"/>
      <c r="O17" s="1"/>
    </row>
    <row r="18" spans="1:15" ht="17.25">
      <c r="A18" s="36" t="s">
        <v>20</v>
      </c>
      <c r="B18" s="38" t="s">
        <v>43</v>
      </c>
      <c r="C18" s="36"/>
      <c r="D18" s="7">
        <v>3.3000000000000002E-2</v>
      </c>
      <c r="E18" s="15">
        <f>18.426+7.713+2.243</f>
        <v>28.381999999999998</v>
      </c>
      <c r="F18" s="15">
        <v>2.7309999999999999</v>
      </c>
      <c r="G18" s="15">
        <v>0.92600000000000005</v>
      </c>
      <c r="H18" s="15">
        <v>0.54500000000000004</v>
      </c>
      <c r="I18" s="15">
        <v>0.28699999999999998</v>
      </c>
      <c r="J18" s="7">
        <v>0.05</v>
      </c>
      <c r="K18" s="7">
        <f>0.009+0.002</f>
        <v>1.0999999999999999E-2</v>
      </c>
      <c r="L18" s="48" t="s">
        <v>59</v>
      </c>
      <c r="M18" s="6">
        <v>32.965000000000003</v>
      </c>
      <c r="N18" s="9"/>
      <c r="O18" s="1"/>
    </row>
    <row r="19" spans="1:15" ht="17.25">
      <c r="A19" s="36" t="s">
        <v>21</v>
      </c>
      <c r="B19" s="38" t="s">
        <v>43</v>
      </c>
      <c r="C19" s="36"/>
      <c r="D19" s="19" t="s">
        <v>59</v>
      </c>
      <c r="E19" s="15">
        <f>32.105+5.705+6.428</f>
        <v>44.237999999999992</v>
      </c>
      <c r="F19" s="15">
        <v>6.4279999999999999</v>
      </c>
      <c r="G19" s="15">
        <v>2.6269999999999998</v>
      </c>
      <c r="H19" s="15">
        <v>1.655</v>
      </c>
      <c r="I19" s="15">
        <v>1.0680000000000001</v>
      </c>
      <c r="J19" s="7">
        <v>0.30299999999999999</v>
      </c>
      <c r="K19" s="7">
        <f>0.088+0.038+0.024+0.007</f>
        <v>0.157</v>
      </c>
      <c r="L19" s="8">
        <f>0.007+0.004</f>
        <v>1.0999999999999999E-2</v>
      </c>
      <c r="M19" s="6">
        <v>61.084000000000003</v>
      </c>
      <c r="N19" s="9"/>
      <c r="O19" s="1"/>
    </row>
    <row r="20" spans="1:15" ht="17.25">
      <c r="A20" s="36" t="s">
        <v>22</v>
      </c>
      <c r="B20" s="38" t="s">
        <v>43</v>
      </c>
      <c r="C20" s="36"/>
      <c r="D20" s="7">
        <v>0.53700000000000003</v>
      </c>
      <c r="E20" s="15">
        <f>43.669+40.84+16.386</f>
        <v>100.895</v>
      </c>
      <c r="F20" s="15">
        <v>19.555</v>
      </c>
      <c r="G20" s="15">
        <v>8.68</v>
      </c>
      <c r="H20" s="15">
        <v>4.8639999999999999</v>
      </c>
      <c r="I20" s="15">
        <v>2.4260000000000002</v>
      </c>
      <c r="J20" s="7">
        <v>0.46400000000000002</v>
      </c>
      <c r="K20" s="7">
        <f>0.112+0.046+0.039+0.014</f>
        <v>0.21100000000000002</v>
      </c>
      <c r="L20" s="8">
        <f>0.022+0.005</f>
        <v>2.7E-2</v>
      </c>
      <c r="M20" s="6">
        <v>137.65899999999999</v>
      </c>
      <c r="N20" s="9"/>
      <c r="O20" s="1"/>
    </row>
    <row r="21" spans="1:15" ht="17.25">
      <c r="A21" s="36" t="s">
        <v>23</v>
      </c>
      <c r="B21" s="38" t="s">
        <v>43</v>
      </c>
      <c r="C21" s="36"/>
      <c r="D21" s="19" t="s">
        <v>59</v>
      </c>
      <c r="E21" s="15">
        <f>0.11+0.096+0.217</f>
        <v>0.42300000000000004</v>
      </c>
      <c r="F21" s="15">
        <v>0.217</v>
      </c>
      <c r="G21" s="15">
        <v>0.22</v>
      </c>
      <c r="H21" s="15">
        <v>0.39400000000000002</v>
      </c>
      <c r="I21" s="15">
        <v>0.61299999999999999</v>
      </c>
      <c r="J21" s="7">
        <v>8.8999999999999996E-2</v>
      </c>
      <c r="K21" s="7">
        <f>0.005+0.002</f>
        <v>7.0000000000000001E-3</v>
      </c>
      <c r="L21" s="19" t="s">
        <v>59</v>
      </c>
      <c r="M21" s="6">
        <v>1.827</v>
      </c>
      <c r="N21" s="9"/>
      <c r="O21" s="1"/>
    </row>
    <row r="22" spans="1:15" ht="17.25">
      <c r="A22" s="36" t="s">
        <v>24</v>
      </c>
      <c r="B22" s="38" t="s">
        <v>43</v>
      </c>
      <c r="C22" s="36"/>
      <c r="D22" s="7">
        <v>0.20300000000000001</v>
      </c>
      <c r="E22" s="15">
        <f>8.457+73.752+22.407</f>
        <v>104.616</v>
      </c>
      <c r="F22" s="15">
        <v>34.344999999999999</v>
      </c>
      <c r="G22" s="15">
        <v>15.198</v>
      </c>
      <c r="H22" s="15">
        <v>9.6370000000000005</v>
      </c>
      <c r="I22" s="15">
        <v>7.5</v>
      </c>
      <c r="J22" s="7">
        <v>2.65</v>
      </c>
      <c r="K22" s="7">
        <f>0.618+0.286+0.197+0.192</f>
        <v>1.2929999999999999</v>
      </c>
      <c r="L22" s="8">
        <f>0.284+0.114</f>
        <v>0.39799999999999996</v>
      </c>
      <c r="M22" s="6">
        <v>175.84</v>
      </c>
      <c r="N22" s="9"/>
      <c r="O22" s="1"/>
    </row>
    <row r="23" spans="1:15" ht="17.25">
      <c r="A23" s="36" t="s">
        <v>25</v>
      </c>
      <c r="B23" s="38" t="s">
        <v>43</v>
      </c>
      <c r="C23" s="36"/>
      <c r="D23" s="19" t="s">
        <v>59</v>
      </c>
      <c r="E23" s="15">
        <f>0.95+0.197+0.179</f>
        <v>1.3260000000000001</v>
      </c>
      <c r="F23" s="15">
        <v>0.17899999999999999</v>
      </c>
      <c r="G23" s="15">
        <v>0.72</v>
      </c>
      <c r="H23" s="15">
        <v>5.0999999999999997E-2</v>
      </c>
      <c r="I23" s="15">
        <v>3.9E-2</v>
      </c>
      <c r="J23" s="7">
        <v>4.0000000000000001E-3</v>
      </c>
      <c r="K23" s="7" t="s">
        <v>59</v>
      </c>
      <c r="L23" s="19" t="s">
        <v>59</v>
      </c>
      <c r="M23" s="6">
        <v>5.3289999999999997</v>
      </c>
      <c r="N23" s="9"/>
      <c r="O23" s="1"/>
    </row>
    <row r="24" spans="1:15" ht="17.25">
      <c r="A24" s="36" t="s">
        <v>26</v>
      </c>
      <c r="B24" s="38" t="s">
        <v>43</v>
      </c>
      <c r="C24" s="36"/>
      <c r="D24" s="19" t="s">
        <v>59</v>
      </c>
      <c r="E24" s="15">
        <f>3.553+3.169+7.974</f>
        <v>14.696</v>
      </c>
      <c r="F24" s="15">
        <v>7.9740000000000002</v>
      </c>
      <c r="G24" s="15">
        <v>6.9379999999999997</v>
      </c>
      <c r="H24" s="15">
        <v>10.964</v>
      </c>
      <c r="I24" s="15">
        <v>11.206</v>
      </c>
      <c r="J24" s="7">
        <v>1.554</v>
      </c>
      <c r="K24" s="7">
        <f>0.188+0.078+0.015+0.007</f>
        <v>0.28800000000000003</v>
      </c>
      <c r="L24" s="8">
        <f>0.008+0.002</f>
        <v>0.01</v>
      </c>
      <c r="M24" s="6">
        <v>45.850999999999999</v>
      </c>
      <c r="N24" s="9"/>
      <c r="O24" s="1"/>
    </row>
    <row r="25" spans="1:15" ht="17.25">
      <c r="A25" s="36" t="s">
        <v>27</v>
      </c>
      <c r="B25" s="38" t="s">
        <v>43</v>
      </c>
      <c r="C25" s="36"/>
      <c r="D25" s="7" t="s">
        <v>59</v>
      </c>
      <c r="E25" s="15">
        <f>11.885+15.015+10.562</f>
        <v>37.461999999999996</v>
      </c>
      <c r="F25" s="15">
        <v>28.672999999999998</v>
      </c>
      <c r="G25" s="15">
        <v>23.445</v>
      </c>
      <c r="H25" s="15">
        <v>14.984999999999999</v>
      </c>
      <c r="I25" s="15">
        <v>5.2329999999999997</v>
      </c>
      <c r="J25" s="7">
        <v>0.32800000000000001</v>
      </c>
      <c r="K25" s="7">
        <f>0.045+0.017+0.005+0.008</f>
        <v>7.5000000000000011E-2</v>
      </c>
      <c r="L25" s="8">
        <v>6.0000000000000001E-3</v>
      </c>
      <c r="M25" s="6">
        <v>110.20699999999999</v>
      </c>
      <c r="N25" s="9"/>
      <c r="O25" s="1"/>
    </row>
    <row r="26" spans="1:15" ht="17.25">
      <c r="A26" s="36" t="s">
        <v>28</v>
      </c>
      <c r="B26" s="38" t="s">
        <v>43</v>
      </c>
      <c r="C26" s="36"/>
      <c r="D26" s="7">
        <v>1.6E-2</v>
      </c>
      <c r="E26" s="15">
        <f>386.948+375.628+180.396</f>
        <v>942.97199999999998</v>
      </c>
      <c r="F26" s="15">
        <v>251.83699999999999</v>
      </c>
      <c r="G26" s="15">
        <v>104.77</v>
      </c>
      <c r="H26" s="15">
        <v>37.527999999999999</v>
      </c>
      <c r="I26" s="15">
        <v>9.6240000000000006</v>
      </c>
      <c r="J26" s="7">
        <v>2.0819999999999999</v>
      </c>
      <c r="K26" s="7">
        <f>0.564+0.2+0.102+0.076</f>
        <v>0.94199999999999995</v>
      </c>
      <c r="L26" s="8">
        <f>0.027+0.009</f>
        <v>3.5999999999999997E-2</v>
      </c>
      <c r="M26" s="6">
        <v>1349.857</v>
      </c>
      <c r="N26" s="9"/>
      <c r="O26" s="1"/>
    </row>
    <row r="27" spans="1:15" ht="17.25">
      <c r="A27" s="36" t="s">
        <v>29</v>
      </c>
      <c r="B27" s="38" t="s">
        <v>43</v>
      </c>
      <c r="C27" s="36"/>
      <c r="D27" s="7">
        <v>5.6000000000000001E-2</v>
      </c>
      <c r="E27" s="15">
        <f>91.717+31.594+12.402</f>
        <v>135.71299999999999</v>
      </c>
      <c r="F27" s="15">
        <v>17.497</v>
      </c>
      <c r="G27" s="15">
        <v>9.1449999999999996</v>
      </c>
      <c r="H27" s="15">
        <v>6.2779999999999996</v>
      </c>
      <c r="I27" s="15">
        <v>4.117</v>
      </c>
      <c r="J27" s="7">
        <v>1.4610000000000001</v>
      </c>
      <c r="K27" s="7">
        <f>0.448+0.183+0.06+0.03</f>
        <v>0.72100000000000009</v>
      </c>
      <c r="L27" s="8">
        <f>0.164+0.116</f>
        <v>0.28000000000000003</v>
      </c>
      <c r="M27" s="6">
        <v>175.024</v>
      </c>
      <c r="N27" s="9"/>
      <c r="O27" s="1"/>
    </row>
    <row r="28" spans="1:15" ht="17.25">
      <c r="A28" s="36" t="s">
        <v>30</v>
      </c>
      <c r="B28" s="38" t="s">
        <v>43</v>
      </c>
      <c r="C28" s="36"/>
      <c r="D28" s="7">
        <v>7.2999999999999995E-2</v>
      </c>
      <c r="E28" s="15">
        <f>567.837+194.39+41.342</f>
        <v>803.56899999999996</v>
      </c>
      <c r="F28" s="15">
        <v>38.476999999999997</v>
      </c>
      <c r="G28" s="15">
        <v>16.28</v>
      </c>
      <c r="H28" s="15">
        <v>10.02</v>
      </c>
      <c r="I28" s="15">
        <v>6.6319999999999997</v>
      </c>
      <c r="J28" s="7">
        <v>2.403</v>
      </c>
      <c r="K28" s="7">
        <f>0.818+0.366+0.185+0.122</f>
        <v>1.4910000000000001</v>
      </c>
      <c r="L28" s="8">
        <f>0.005+0.005</f>
        <v>0.01</v>
      </c>
      <c r="M28" s="6">
        <v>879.22500000000002</v>
      </c>
      <c r="N28" s="9"/>
      <c r="O28" s="1"/>
    </row>
    <row r="29" spans="1:15" ht="17.25">
      <c r="A29" s="36" t="s">
        <v>31</v>
      </c>
      <c r="B29" s="38" t="s">
        <v>43</v>
      </c>
      <c r="C29" s="36"/>
      <c r="D29" s="7" t="s">
        <v>59</v>
      </c>
      <c r="E29" s="15">
        <f>14.549+16.834+8.654</f>
        <v>40.036999999999999</v>
      </c>
      <c r="F29" s="15">
        <v>11.779</v>
      </c>
      <c r="G29" s="15">
        <v>3.9249999999999998</v>
      </c>
      <c r="H29" s="15">
        <v>1.4570000000000001</v>
      </c>
      <c r="I29" s="15">
        <v>0.441</v>
      </c>
      <c r="J29" s="7">
        <v>3.5999999999999997E-2</v>
      </c>
      <c r="K29" s="7">
        <f>0.003+0.005+0.001</f>
        <v>9.0000000000000011E-3</v>
      </c>
      <c r="L29" s="8">
        <f>0.243+0.14</f>
        <v>0.38300000000000001</v>
      </c>
      <c r="M29" s="6">
        <v>57.694000000000003</v>
      </c>
      <c r="N29" s="9"/>
      <c r="O29" s="1"/>
    </row>
    <row r="30" spans="1:15" ht="17.25">
      <c r="A30" s="36" t="s">
        <v>32</v>
      </c>
      <c r="B30" s="38" t="s">
        <v>43</v>
      </c>
      <c r="C30" s="36"/>
      <c r="D30" s="19" t="s">
        <v>59</v>
      </c>
      <c r="E30" s="15">
        <f>4.163+4.663+2.059</f>
        <v>10.885000000000002</v>
      </c>
      <c r="F30" s="15">
        <v>2.8820000000000001</v>
      </c>
      <c r="G30" s="15">
        <v>1.2190000000000001</v>
      </c>
      <c r="H30" s="15">
        <v>0.83799999999999997</v>
      </c>
      <c r="I30" s="15">
        <v>0.89300000000000002</v>
      </c>
      <c r="J30" s="7">
        <v>0.495</v>
      </c>
      <c r="K30" s="7">
        <f>0.233+0.18+0.142+0.119</f>
        <v>0.67400000000000004</v>
      </c>
      <c r="L30" s="8">
        <v>2E-3</v>
      </c>
      <c r="M30" s="6">
        <v>18.268999999999998</v>
      </c>
      <c r="N30" s="9"/>
      <c r="O30" s="1"/>
    </row>
    <row r="31" spans="1:15" ht="17.25">
      <c r="A31" s="36" t="s">
        <v>33</v>
      </c>
      <c r="B31" s="38" t="s">
        <v>43</v>
      </c>
      <c r="C31" s="36"/>
      <c r="D31" s="19" t="s">
        <v>59</v>
      </c>
      <c r="E31" s="15">
        <f>0.9+5.232+5.275</f>
        <v>11.407</v>
      </c>
      <c r="F31" s="15">
        <v>13.885</v>
      </c>
      <c r="G31" s="15">
        <v>11.576000000000001</v>
      </c>
      <c r="H31" s="15">
        <v>9.3620000000000001</v>
      </c>
      <c r="I31" s="15">
        <v>5.5209999999999999</v>
      </c>
      <c r="J31" s="7">
        <v>0.86099999999999999</v>
      </c>
      <c r="K31" s="7">
        <f>0.13+0.036+0.01+0.01</f>
        <v>0.18600000000000003</v>
      </c>
      <c r="L31" s="8">
        <v>2E-3</v>
      </c>
      <c r="M31" s="6">
        <v>52.8</v>
      </c>
      <c r="N31" s="9"/>
      <c r="O31" s="1"/>
    </row>
    <row r="32" spans="1:15" ht="17.25">
      <c r="A32" s="36" t="s">
        <v>34</v>
      </c>
      <c r="B32" s="38" t="s">
        <v>43</v>
      </c>
      <c r="C32" s="36"/>
      <c r="D32" s="7">
        <v>1E-3</v>
      </c>
      <c r="E32" s="15">
        <f>0.533+13.991+8.458</f>
        <v>22.981999999999999</v>
      </c>
      <c r="F32" s="15">
        <v>13.125</v>
      </c>
      <c r="G32" s="15">
        <v>7.6820000000000004</v>
      </c>
      <c r="H32" s="15">
        <v>6.7569999999999997</v>
      </c>
      <c r="I32" s="15">
        <v>6.81</v>
      </c>
      <c r="J32" s="7">
        <v>2.1869999999999998</v>
      </c>
      <c r="K32" s="7">
        <f>0.382+0.125+0.029+0.022</f>
        <v>0.55800000000000005</v>
      </c>
      <c r="L32" s="8">
        <f>0.014+0.004</f>
        <v>1.8000000000000002E-2</v>
      </c>
      <c r="M32" s="6">
        <v>60.12</v>
      </c>
      <c r="N32" s="9"/>
      <c r="O32" s="1"/>
    </row>
    <row r="33" spans="1:17" ht="17.25">
      <c r="A33" s="36" t="s">
        <v>35</v>
      </c>
      <c r="B33" s="38" t="s">
        <v>43</v>
      </c>
      <c r="C33" s="36"/>
      <c r="D33" s="7">
        <v>6.6000000000000003E-2</v>
      </c>
      <c r="E33" s="15">
        <f>1.164+4.375+12.908</f>
        <v>18.446999999999999</v>
      </c>
      <c r="F33" s="15">
        <v>28.699000000000002</v>
      </c>
      <c r="G33" s="15">
        <v>25.349</v>
      </c>
      <c r="H33" s="15">
        <v>28.09</v>
      </c>
      <c r="I33" s="15">
        <v>30.241</v>
      </c>
      <c r="J33" s="7">
        <v>10.391999999999999</v>
      </c>
      <c r="K33" s="7">
        <f>2.379+0.802+0.357+0.176</f>
        <v>3.7140000000000004</v>
      </c>
      <c r="L33" s="8">
        <f>0.184+0.062</f>
        <v>0.246</v>
      </c>
      <c r="M33" s="6">
        <v>145.244</v>
      </c>
      <c r="N33" s="9"/>
      <c r="O33" s="1"/>
    </row>
    <row r="34" spans="1:17" ht="17.25">
      <c r="A34" s="40" t="s">
        <v>6</v>
      </c>
      <c r="B34" s="38" t="s">
        <v>43</v>
      </c>
      <c r="C34" s="40"/>
      <c r="D34" s="13">
        <v>2.2999999999999998</v>
      </c>
      <c r="E34" s="12">
        <f>1789.788+1591.323+691.639</f>
        <v>4072.75</v>
      </c>
      <c r="F34" s="12">
        <v>1082.662</v>
      </c>
      <c r="G34" s="12">
        <v>613.14700000000005</v>
      </c>
      <c r="H34" s="12">
        <v>456.73599999999999</v>
      </c>
      <c r="I34" s="12">
        <v>366.29500000000002</v>
      </c>
      <c r="J34" s="13">
        <v>89.346999999999994</v>
      </c>
      <c r="K34" s="13">
        <f>16.577+6.158+3.241+1.983</f>
        <v>27.959000000000003</v>
      </c>
      <c r="L34" s="13">
        <f>2.954+1.453</f>
        <v>4.407</v>
      </c>
      <c r="M34" s="39">
        <v>6715.61</v>
      </c>
      <c r="N34" s="9"/>
    </row>
    <row r="35" spans="1:17" ht="17.25">
      <c r="A35" s="20" t="s">
        <v>52</v>
      </c>
      <c r="B35" s="20"/>
      <c r="C35" s="20"/>
      <c r="D35" s="20"/>
      <c r="E35" s="20"/>
      <c r="F35" s="20"/>
      <c r="G35" s="20"/>
      <c r="H35" s="20"/>
      <c r="I35" s="20"/>
      <c r="J35" s="20"/>
      <c r="K35" s="21"/>
      <c r="L35" s="20"/>
      <c r="M35" s="20"/>
      <c r="O35" s="16"/>
    </row>
    <row r="36" spans="1:17" s="53" customFormat="1" ht="39.75" customHeight="1">
      <c r="A36" s="44" t="s">
        <v>5</v>
      </c>
      <c r="B36" s="49" t="s">
        <v>39</v>
      </c>
      <c r="C36" s="49" t="s">
        <v>40</v>
      </c>
      <c r="D36" s="50" t="s">
        <v>36</v>
      </c>
      <c r="E36" s="51" t="s">
        <v>44</v>
      </c>
      <c r="F36" s="51" t="s">
        <v>49</v>
      </c>
      <c r="G36" s="51" t="s">
        <v>50</v>
      </c>
      <c r="H36" s="51" t="s">
        <v>51</v>
      </c>
      <c r="I36" s="51" t="s">
        <v>48</v>
      </c>
      <c r="J36" s="51" t="s">
        <v>47</v>
      </c>
      <c r="K36" s="51" t="s">
        <v>46</v>
      </c>
      <c r="L36" s="51" t="s">
        <v>45</v>
      </c>
      <c r="M36" s="52" t="s">
        <v>37</v>
      </c>
    </row>
    <row r="37" spans="1:17" ht="17.25">
      <c r="A37" s="36" t="s">
        <v>8</v>
      </c>
      <c r="B37" s="38" t="s">
        <v>41</v>
      </c>
      <c r="C37" s="36"/>
      <c r="D37" s="23">
        <v>0.01</v>
      </c>
      <c r="E37" s="23">
        <f>1.9+8.87+6.68</f>
        <v>17.45</v>
      </c>
      <c r="F37" s="23">
        <v>16.149999999999999</v>
      </c>
      <c r="G37" s="23">
        <v>16.309999999999999</v>
      </c>
      <c r="H37" s="23">
        <v>23.08</v>
      </c>
      <c r="I37" s="23">
        <v>22.61</v>
      </c>
      <c r="J37" s="24">
        <v>4.01</v>
      </c>
      <c r="K37" s="24">
        <f>0.3+0.05+0.02</f>
        <v>0.37</v>
      </c>
      <c r="L37" s="24">
        <v>0</v>
      </c>
      <c r="M37" s="45">
        <f t="shared" ref="M37:M65" si="0">SUM(D37:L37)</f>
        <v>99.990000000000009</v>
      </c>
      <c r="N37" s="25"/>
      <c r="O37" s="26"/>
      <c r="P37" s="6"/>
      <c r="Q37" s="27"/>
    </row>
    <row r="38" spans="1:17" ht="17.25">
      <c r="A38" s="36" t="s">
        <v>9</v>
      </c>
      <c r="B38" s="38" t="s">
        <v>41</v>
      </c>
      <c r="C38" s="36"/>
      <c r="D38" s="23">
        <v>0</v>
      </c>
      <c r="E38" s="23">
        <f>12.18+25.55+11.97</f>
        <v>49.7</v>
      </c>
      <c r="F38" s="23">
        <v>20.39</v>
      </c>
      <c r="G38" s="23">
        <v>13.36</v>
      </c>
      <c r="H38" s="23">
        <v>7.77</v>
      </c>
      <c r="I38" s="23">
        <v>4.53</v>
      </c>
      <c r="J38" s="24">
        <v>2.14</v>
      </c>
      <c r="K38" s="24">
        <f>0.91+0.51+0.27+0.14</f>
        <v>1.83</v>
      </c>
      <c r="L38" s="24">
        <v>0.3</v>
      </c>
      <c r="M38" s="45">
        <f t="shared" si="0"/>
        <v>100.02</v>
      </c>
      <c r="N38" s="25"/>
      <c r="O38" s="27"/>
      <c r="P38" s="28"/>
    </row>
    <row r="39" spans="1:17" ht="17.25">
      <c r="A39" s="36" t="s">
        <v>10</v>
      </c>
      <c r="B39" s="38" t="s">
        <v>41</v>
      </c>
      <c r="C39" s="36"/>
      <c r="D39" s="23" t="s">
        <v>59</v>
      </c>
      <c r="E39" s="23">
        <f>10.27+17.18+10.82</f>
        <v>38.269999999999996</v>
      </c>
      <c r="F39" s="23">
        <v>20.69</v>
      </c>
      <c r="G39" s="23">
        <v>12.43</v>
      </c>
      <c r="H39" s="23">
        <v>9.8699999999999992</v>
      </c>
      <c r="I39" s="23">
        <v>8.5</v>
      </c>
      <c r="J39" s="24">
        <v>3.48</v>
      </c>
      <c r="K39" s="24">
        <f>1.72+1.17+0.84+0.66</f>
        <v>4.3899999999999997</v>
      </c>
      <c r="L39" s="24">
        <f>1.43+0.95</f>
        <v>2.38</v>
      </c>
      <c r="M39" s="45">
        <f t="shared" si="0"/>
        <v>100.00999999999999</v>
      </c>
      <c r="N39" s="25"/>
      <c r="O39" s="27"/>
      <c r="P39" s="28"/>
    </row>
    <row r="40" spans="1:17" ht="17.25">
      <c r="A40" s="36" t="s">
        <v>11</v>
      </c>
      <c r="B40" s="38" t="s">
        <v>41</v>
      </c>
      <c r="C40" s="36"/>
      <c r="D40" s="23">
        <v>0.22</v>
      </c>
      <c r="E40" s="23">
        <f>0.27+14.94+11.5</f>
        <v>26.71</v>
      </c>
      <c r="F40" s="23">
        <v>21.1</v>
      </c>
      <c r="G40" s="23">
        <v>13.34</v>
      </c>
      <c r="H40" s="23">
        <v>11.57</v>
      </c>
      <c r="I40" s="23">
        <v>14.24</v>
      </c>
      <c r="J40" s="24">
        <v>8.7899999999999991</v>
      </c>
      <c r="K40" s="24">
        <f>2.45+0.8+0.44+0.15</f>
        <v>3.84</v>
      </c>
      <c r="L40" s="24">
        <f>0.17+0.02</f>
        <v>0.19</v>
      </c>
      <c r="M40" s="45">
        <f t="shared" si="0"/>
        <v>100</v>
      </c>
      <c r="N40" s="25"/>
      <c r="O40" s="27"/>
    </row>
    <row r="41" spans="1:17" s="31" customFormat="1" ht="17.25">
      <c r="A41" s="37" t="s">
        <v>12</v>
      </c>
      <c r="B41" s="38" t="s">
        <v>41</v>
      </c>
      <c r="C41" s="37"/>
      <c r="D41" s="29">
        <v>0.01</v>
      </c>
      <c r="E41" s="29">
        <f>4.45+11.58+8.54</f>
        <v>24.57</v>
      </c>
      <c r="F41" s="29">
        <v>19.47</v>
      </c>
      <c r="G41" s="29">
        <v>17.55</v>
      </c>
      <c r="H41" s="29">
        <v>18.82</v>
      </c>
      <c r="I41" s="29">
        <v>15.17</v>
      </c>
      <c r="J41" s="30">
        <v>2.76</v>
      </c>
      <c r="K41" s="30">
        <f>0.62+0.3+0.22+0.15</f>
        <v>1.2899999999999998</v>
      </c>
      <c r="L41" s="30">
        <v>0.37</v>
      </c>
      <c r="M41" s="46">
        <f t="shared" si="0"/>
        <v>100.01</v>
      </c>
      <c r="N41" s="25"/>
      <c r="O41" s="27"/>
    </row>
    <row r="42" spans="1:17" ht="17.25">
      <c r="A42" s="36" t="s">
        <v>13</v>
      </c>
      <c r="B42" s="38" t="s">
        <v>41</v>
      </c>
      <c r="C42" s="36"/>
      <c r="D42" s="23" t="s">
        <v>59</v>
      </c>
      <c r="E42" s="23">
        <f>26.51+28.33+11.76</f>
        <v>66.600000000000009</v>
      </c>
      <c r="F42" s="23">
        <v>14.43</v>
      </c>
      <c r="G42" s="23">
        <v>6.72</v>
      </c>
      <c r="H42" s="23">
        <v>5.04</v>
      </c>
      <c r="I42" s="23">
        <v>4.51</v>
      </c>
      <c r="J42" s="24">
        <v>1.57</v>
      </c>
      <c r="K42" s="24">
        <f>0.63+0.24+0.09+0.08</f>
        <v>1.04</v>
      </c>
      <c r="L42" s="24">
        <v>0.09</v>
      </c>
      <c r="M42" s="45">
        <f t="shared" si="0"/>
        <v>100.00000000000001</v>
      </c>
      <c r="N42" s="25"/>
      <c r="O42" s="27"/>
    </row>
    <row r="43" spans="1:17" ht="17.25">
      <c r="A43" s="36" t="s">
        <v>14</v>
      </c>
      <c r="B43" s="38" t="s">
        <v>41</v>
      </c>
      <c r="C43" s="36"/>
      <c r="D43" s="23">
        <v>0.01</v>
      </c>
      <c r="E43" s="23">
        <f>4.04+7.17+7.2</f>
        <v>18.41</v>
      </c>
      <c r="F43" s="23">
        <v>25.84</v>
      </c>
      <c r="G43" s="23">
        <v>25.01</v>
      </c>
      <c r="H43" s="23">
        <v>19.37</v>
      </c>
      <c r="I43" s="23">
        <v>10</v>
      </c>
      <c r="J43" s="24">
        <v>1.19</v>
      </c>
      <c r="K43" s="24">
        <f>0.12+0.02+0.01</f>
        <v>0.15</v>
      </c>
      <c r="L43" s="23" t="s">
        <v>59</v>
      </c>
      <c r="M43" s="45">
        <f t="shared" si="0"/>
        <v>99.980000000000018</v>
      </c>
      <c r="N43" s="25"/>
      <c r="O43" s="27"/>
    </row>
    <row r="44" spans="1:17" ht="17.25">
      <c r="A44" s="36" t="s">
        <v>15</v>
      </c>
      <c r="B44" s="38" t="s">
        <v>41</v>
      </c>
      <c r="C44" s="36"/>
      <c r="D44" s="23">
        <v>0.01</v>
      </c>
      <c r="E44" s="23">
        <f>20.22+28.28+13.45</f>
        <v>61.95</v>
      </c>
      <c r="F44" s="23">
        <v>21.1</v>
      </c>
      <c r="G44" s="23">
        <v>10.44</v>
      </c>
      <c r="H44" s="23">
        <v>4.72</v>
      </c>
      <c r="I44" s="23">
        <v>1.63</v>
      </c>
      <c r="J44" s="24">
        <v>0.14000000000000001</v>
      </c>
      <c r="K44" s="24">
        <f>0.01+0+0+0</f>
        <v>0.01</v>
      </c>
      <c r="L44" s="23" t="s">
        <v>59</v>
      </c>
      <c r="M44" s="45">
        <f t="shared" si="0"/>
        <v>100</v>
      </c>
      <c r="N44" s="25"/>
      <c r="O44" s="27"/>
    </row>
    <row r="45" spans="1:17" ht="17.25">
      <c r="A45" s="36" t="s">
        <v>16</v>
      </c>
      <c r="B45" s="38" t="s">
        <v>41</v>
      </c>
      <c r="C45" s="36"/>
      <c r="D45" s="23">
        <v>0.01</v>
      </c>
      <c r="E45" s="23">
        <f>24.21+21.65+10.62</f>
        <v>56.48</v>
      </c>
      <c r="F45" s="23">
        <v>17.579999999999998</v>
      </c>
      <c r="G45" s="23">
        <v>10.1</v>
      </c>
      <c r="H45" s="23">
        <v>8.14</v>
      </c>
      <c r="I45" s="23">
        <v>6.02</v>
      </c>
      <c r="J45" s="24">
        <v>1.25</v>
      </c>
      <c r="K45" s="24">
        <f>0.24+0.09+0.04+0.02</f>
        <v>0.38999999999999996</v>
      </c>
      <c r="L45" s="24">
        <v>0.04</v>
      </c>
      <c r="M45" s="45">
        <f t="shared" si="0"/>
        <v>100.00999999999999</v>
      </c>
      <c r="N45" s="25"/>
      <c r="O45" s="27"/>
    </row>
    <row r="46" spans="1:17" ht="17.25">
      <c r="A46" s="36" t="s">
        <v>17</v>
      </c>
      <c r="B46" s="38" t="s">
        <v>41</v>
      </c>
      <c r="C46" s="36"/>
      <c r="D46" s="23">
        <v>0.04</v>
      </c>
      <c r="E46" s="23">
        <f>4.91+8.66+5.17</f>
        <v>18.740000000000002</v>
      </c>
      <c r="F46" s="23">
        <v>10.54</v>
      </c>
      <c r="G46" s="23">
        <v>10.83</v>
      </c>
      <c r="H46" s="23">
        <v>19.350000000000001</v>
      </c>
      <c r="I46" s="23">
        <v>31.56</v>
      </c>
      <c r="J46" s="24">
        <v>8.1</v>
      </c>
      <c r="K46" s="24">
        <f>0.67+0.1+0.03+0.01</f>
        <v>0.81</v>
      </c>
      <c r="L46" s="24">
        <v>0.03</v>
      </c>
      <c r="M46" s="45">
        <f t="shared" si="0"/>
        <v>100</v>
      </c>
      <c r="N46" s="25"/>
      <c r="O46" s="27"/>
    </row>
    <row r="47" spans="1:17" ht="17.25">
      <c r="A47" s="36" t="s">
        <v>18</v>
      </c>
      <c r="B47" s="38" t="s">
        <v>41</v>
      </c>
      <c r="C47" s="36"/>
      <c r="D47" s="23">
        <v>0.39</v>
      </c>
      <c r="E47" s="23">
        <v>83.27</v>
      </c>
      <c r="F47" s="23">
        <v>9.5299999999999994</v>
      </c>
      <c r="G47" s="23">
        <v>4.1900000000000004</v>
      </c>
      <c r="H47" s="23">
        <v>1.84</v>
      </c>
      <c r="I47" s="23">
        <v>0.6</v>
      </c>
      <c r="J47" s="24">
        <v>0.09</v>
      </c>
      <c r="K47" s="24">
        <f>0.03+0.01+0.01+0.01</f>
        <v>6.0000000000000005E-2</v>
      </c>
      <c r="L47" s="24">
        <v>0.02</v>
      </c>
      <c r="M47" s="45">
        <f t="shared" si="0"/>
        <v>99.99</v>
      </c>
      <c r="N47" s="25"/>
      <c r="O47" s="27"/>
    </row>
    <row r="48" spans="1:17" ht="17.25">
      <c r="A48" s="36" t="s">
        <v>19</v>
      </c>
      <c r="B48" s="38" t="s">
        <v>41</v>
      </c>
      <c r="C48" s="36"/>
      <c r="D48" s="23">
        <v>7.0000000000000007E-2</v>
      </c>
      <c r="E48" s="23">
        <f>23.3+30.83+11.78</f>
        <v>65.91</v>
      </c>
      <c r="F48" s="23">
        <v>16.89</v>
      </c>
      <c r="G48" s="23">
        <v>8.17</v>
      </c>
      <c r="H48" s="23">
        <v>4.88</v>
      </c>
      <c r="I48" s="23">
        <v>2.9</v>
      </c>
      <c r="J48" s="24">
        <v>0.84</v>
      </c>
      <c r="K48" s="24">
        <f>0.2+0.08+0.03+0.02</f>
        <v>0.33000000000000007</v>
      </c>
      <c r="L48" s="24">
        <v>0.03</v>
      </c>
      <c r="M48" s="45">
        <f t="shared" si="0"/>
        <v>100.02</v>
      </c>
      <c r="N48" s="25"/>
      <c r="O48" s="27"/>
    </row>
    <row r="49" spans="1:20" ht="17.25">
      <c r="A49" s="36" t="s">
        <v>20</v>
      </c>
      <c r="B49" s="38" t="s">
        <v>41</v>
      </c>
      <c r="C49" s="36"/>
      <c r="D49" s="23">
        <v>0.1</v>
      </c>
      <c r="E49" s="23">
        <f>55.9+23.4+6.8</f>
        <v>86.1</v>
      </c>
      <c r="F49" s="23">
        <v>8.2799999999999994</v>
      </c>
      <c r="G49" s="23">
        <v>2.81</v>
      </c>
      <c r="H49" s="23">
        <v>1.65</v>
      </c>
      <c r="I49" s="23">
        <v>0.87</v>
      </c>
      <c r="J49" s="24">
        <v>0.15</v>
      </c>
      <c r="K49" s="24">
        <v>0.04</v>
      </c>
      <c r="L49" s="23" t="s">
        <v>59</v>
      </c>
      <c r="M49" s="45">
        <f t="shared" si="0"/>
        <v>100.00000000000001</v>
      </c>
      <c r="N49" s="25"/>
      <c r="O49" s="27"/>
    </row>
    <row r="50" spans="1:20" ht="17.25">
      <c r="A50" s="36" t="s">
        <v>21</v>
      </c>
      <c r="B50" s="38" t="s">
        <v>41</v>
      </c>
      <c r="C50" s="36"/>
      <c r="D50" s="23" t="s">
        <v>59</v>
      </c>
      <c r="E50" s="23">
        <f>18.05+52.56+9.34</f>
        <v>79.95</v>
      </c>
      <c r="F50" s="23">
        <v>10.52</v>
      </c>
      <c r="G50" s="23">
        <v>4.3</v>
      </c>
      <c r="H50" s="23">
        <v>2.71</v>
      </c>
      <c r="I50" s="23">
        <v>1.75</v>
      </c>
      <c r="J50" s="24">
        <v>0.5</v>
      </c>
      <c r="K50" s="24">
        <v>0.2</v>
      </c>
      <c r="L50" s="24">
        <v>0.02</v>
      </c>
      <c r="M50" s="45">
        <f t="shared" si="0"/>
        <v>99.949999999999989</v>
      </c>
      <c r="N50" s="25"/>
      <c r="O50" s="27"/>
      <c r="T50" s="27"/>
    </row>
    <row r="51" spans="1:20" ht="17.25">
      <c r="A51" s="36" t="s">
        <v>22</v>
      </c>
      <c r="B51" s="38" t="s">
        <v>41</v>
      </c>
      <c r="C51" s="36"/>
      <c r="D51" s="23">
        <v>0.39</v>
      </c>
      <c r="E51" s="23">
        <f>31.72+29.67+11.9</f>
        <v>73.290000000000006</v>
      </c>
      <c r="F51" s="23">
        <v>14.21</v>
      </c>
      <c r="G51" s="23">
        <v>6.31</v>
      </c>
      <c r="H51" s="23">
        <v>3.53</v>
      </c>
      <c r="I51" s="23">
        <v>1.76</v>
      </c>
      <c r="J51" s="24">
        <v>0.34</v>
      </c>
      <c r="K51" s="24">
        <v>0.15</v>
      </c>
      <c r="L51" s="24">
        <v>0.02</v>
      </c>
      <c r="M51" s="45">
        <f t="shared" si="0"/>
        <v>100.00000000000003</v>
      </c>
      <c r="N51" s="25"/>
      <c r="O51" s="27"/>
    </row>
    <row r="52" spans="1:20" ht="17.25">
      <c r="A52" s="36" t="s">
        <v>23</v>
      </c>
      <c r="B52" s="38" t="s">
        <v>41</v>
      </c>
      <c r="C52" s="36"/>
      <c r="D52" s="23" t="s">
        <v>59</v>
      </c>
      <c r="E52" s="23">
        <f>4.43+6.02+5.25</f>
        <v>15.7</v>
      </c>
      <c r="F52" s="23">
        <v>11.88</v>
      </c>
      <c r="G52" s="23">
        <v>12.04</v>
      </c>
      <c r="H52" s="23">
        <v>21.57</v>
      </c>
      <c r="I52" s="23">
        <v>33.549999999999997</v>
      </c>
      <c r="J52" s="24">
        <v>4.87</v>
      </c>
      <c r="K52" s="24">
        <v>0.38</v>
      </c>
      <c r="L52" s="23" t="s">
        <v>59</v>
      </c>
      <c r="M52" s="45">
        <f t="shared" si="0"/>
        <v>99.99</v>
      </c>
      <c r="N52" s="25"/>
      <c r="O52" s="27"/>
    </row>
    <row r="53" spans="1:20" ht="17.25">
      <c r="A53" s="36" t="s">
        <v>24</v>
      </c>
      <c r="B53" s="38" t="s">
        <v>41</v>
      </c>
      <c r="C53" s="36"/>
      <c r="D53" s="23">
        <v>0.12</v>
      </c>
      <c r="E53" s="23">
        <f>4.81+41.94+12.74</f>
        <v>59.49</v>
      </c>
      <c r="F53" s="23">
        <v>19.53</v>
      </c>
      <c r="G53" s="23">
        <v>8.64</v>
      </c>
      <c r="H53" s="23">
        <v>5.48</v>
      </c>
      <c r="I53" s="23">
        <v>4.2699999999999996</v>
      </c>
      <c r="J53" s="24">
        <v>1.51</v>
      </c>
      <c r="K53" s="24">
        <v>0.73</v>
      </c>
      <c r="L53" s="24">
        <v>0.22</v>
      </c>
      <c r="M53" s="45">
        <f t="shared" si="0"/>
        <v>99.990000000000009</v>
      </c>
      <c r="N53" s="25"/>
      <c r="O53" s="27"/>
      <c r="P53" s="28"/>
    </row>
    <row r="54" spans="1:20" ht="17.25">
      <c r="A54" s="36" t="s">
        <v>25</v>
      </c>
      <c r="B54" s="38" t="s">
        <v>41</v>
      </c>
      <c r="C54" s="36"/>
      <c r="D54" s="23" t="s">
        <v>59</v>
      </c>
      <c r="E54" s="23">
        <f>72+17.83+3.7</f>
        <v>93.53</v>
      </c>
      <c r="F54" s="23">
        <v>3.36</v>
      </c>
      <c r="G54" s="23">
        <v>1.35</v>
      </c>
      <c r="H54" s="23">
        <v>0.96</v>
      </c>
      <c r="I54" s="23">
        <v>0.73</v>
      </c>
      <c r="J54" s="24">
        <v>0.08</v>
      </c>
      <c r="K54" s="23" t="s">
        <v>59</v>
      </c>
      <c r="L54" s="23" t="s">
        <v>59</v>
      </c>
      <c r="M54" s="45">
        <f t="shared" si="0"/>
        <v>100.00999999999999</v>
      </c>
      <c r="N54" s="25"/>
      <c r="O54" s="27"/>
      <c r="P54" s="28"/>
    </row>
    <row r="55" spans="1:20" ht="17.25">
      <c r="A55" s="36" t="s">
        <v>26</v>
      </c>
      <c r="B55" s="38" t="s">
        <v>41</v>
      </c>
      <c r="C55" s="36"/>
      <c r="D55" s="23" t="s">
        <v>59</v>
      </c>
      <c r="E55" s="23">
        <f>0.43+7.75+6.91</f>
        <v>15.09</v>
      </c>
      <c r="F55" s="23">
        <v>17.39</v>
      </c>
      <c r="G55" s="23">
        <v>15.13</v>
      </c>
      <c r="H55" s="23">
        <v>23.91</v>
      </c>
      <c r="I55" s="23">
        <v>24.44</v>
      </c>
      <c r="J55" s="24">
        <v>3.39</v>
      </c>
      <c r="K55" s="24">
        <f>0.41+0.17+0.03+0.02</f>
        <v>0.63</v>
      </c>
      <c r="L55" s="24">
        <v>0</v>
      </c>
      <c r="M55" s="45">
        <f t="shared" si="0"/>
        <v>99.98</v>
      </c>
      <c r="N55" s="25"/>
      <c r="O55" s="27"/>
      <c r="P55" s="28"/>
    </row>
    <row r="56" spans="1:20" ht="17.25">
      <c r="A56" s="36" t="s">
        <v>27</v>
      </c>
      <c r="B56" s="38" t="s">
        <v>41</v>
      </c>
      <c r="C56" s="36"/>
      <c r="D56" s="23" t="s">
        <v>59</v>
      </c>
      <c r="E56" s="23">
        <f>10.78+13.62+9.58</f>
        <v>33.979999999999997</v>
      </c>
      <c r="F56" s="23">
        <v>26.02</v>
      </c>
      <c r="G56" s="23">
        <v>21.27</v>
      </c>
      <c r="H56" s="23">
        <v>13.6</v>
      </c>
      <c r="I56" s="23">
        <v>4.75</v>
      </c>
      <c r="J56" s="24">
        <v>0.3</v>
      </c>
      <c r="K56" s="24">
        <f>0.04+0.02+0+0.01</f>
        <v>6.9999999999999993E-2</v>
      </c>
      <c r="L56" s="24">
        <v>0.02</v>
      </c>
      <c r="M56" s="45">
        <f t="shared" si="0"/>
        <v>100.00999999999998</v>
      </c>
      <c r="N56" s="25"/>
      <c r="O56" s="27"/>
      <c r="P56" s="28"/>
    </row>
    <row r="57" spans="1:20" ht="17.25">
      <c r="A57" s="36" t="s">
        <v>28</v>
      </c>
      <c r="B57" s="38" t="s">
        <v>41</v>
      </c>
      <c r="C57" s="36"/>
      <c r="D57" s="23">
        <v>0</v>
      </c>
      <c r="E57" s="23">
        <f>28.67+27.83+13.36</f>
        <v>69.86</v>
      </c>
      <c r="F57" s="23">
        <v>18.66</v>
      </c>
      <c r="G57" s="23">
        <v>7.76</v>
      </c>
      <c r="H57" s="23">
        <v>2.78</v>
      </c>
      <c r="I57" s="23">
        <v>0.71</v>
      </c>
      <c r="J57" s="24">
        <v>0.15</v>
      </c>
      <c r="K57" s="24">
        <f>0.04+0.01+0.01+0.01</f>
        <v>7.0000000000000007E-2</v>
      </c>
      <c r="L57" s="24">
        <v>0</v>
      </c>
      <c r="M57" s="45">
        <f t="shared" si="0"/>
        <v>99.99</v>
      </c>
      <c r="N57" s="25"/>
      <c r="O57" s="27"/>
    </row>
    <row r="58" spans="1:20" ht="17.25">
      <c r="A58" s="36" t="s">
        <v>29</v>
      </c>
      <c r="B58" s="38" t="s">
        <v>41</v>
      </c>
      <c r="C58" s="36"/>
      <c r="D58" s="23">
        <v>0.03</v>
      </c>
      <c r="E58" s="23">
        <f>52.4+18.05+7.09</f>
        <v>77.540000000000006</v>
      </c>
      <c r="F58" s="23">
        <v>10</v>
      </c>
      <c r="G58" s="23">
        <v>5.22</v>
      </c>
      <c r="H58" s="23">
        <v>3.59</v>
      </c>
      <c r="I58" s="23">
        <v>2.35</v>
      </c>
      <c r="J58" s="24">
        <v>0.83</v>
      </c>
      <c r="K58" s="24">
        <f>0.26+0.1+0.03+0.02</f>
        <v>0.41000000000000003</v>
      </c>
      <c r="L58" s="24">
        <v>0.03</v>
      </c>
      <c r="M58" s="45">
        <f t="shared" si="0"/>
        <v>100</v>
      </c>
      <c r="N58" s="25"/>
      <c r="O58" s="27"/>
      <c r="P58" s="28"/>
    </row>
    <row r="59" spans="1:20" ht="17.25">
      <c r="A59" s="36" t="s">
        <v>30</v>
      </c>
      <c r="B59" s="38" t="s">
        <v>41</v>
      </c>
      <c r="C59" s="36"/>
      <c r="D59" s="23">
        <v>0.01</v>
      </c>
      <c r="E59" s="23">
        <f>64.58+22.11+4.7</f>
        <v>91.39</v>
      </c>
      <c r="F59" s="23">
        <v>4.38</v>
      </c>
      <c r="G59" s="23">
        <v>1.85</v>
      </c>
      <c r="H59" s="23">
        <v>1.1399999999999999</v>
      </c>
      <c r="I59" s="23">
        <v>0.75</v>
      </c>
      <c r="J59" s="24">
        <v>0.27</v>
      </c>
      <c r="K59" s="24">
        <f>0.09+0.04+0.02+0.01</f>
        <v>0.16</v>
      </c>
      <c r="L59" s="24">
        <v>0.03</v>
      </c>
      <c r="M59" s="45">
        <f t="shared" si="0"/>
        <v>99.97999999999999</v>
      </c>
      <c r="N59" s="25"/>
      <c r="O59" s="27"/>
      <c r="P59" s="28"/>
    </row>
    <row r="60" spans="1:20" ht="17.25">
      <c r="A60" s="36" t="s">
        <v>31</v>
      </c>
      <c r="B60" s="38" t="s">
        <v>41</v>
      </c>
      <c r="C60" s="36"/>
      <c r="D60" s="23" t="s">
        <v>59</v>
      </c>
      <c r="E60" s="23">
        <v>69.400000000000006</v>
      </c>
      <c r="F60" s="23">
        <v>20.420000000000002</v>
      </c>
      <c r="G60" s="23">
        <v>6.8</v>
      </c>
      <c r="H60" s="23">
        <v>2.5299999999999998</v>
      </c>
      <c r="I60" s="23">
        <v>0.76</v>
      </c>
      <c r="J60" s="24">
        <v>0.06</v>
      </c>
      <c r="K60" s="24">
        <f>0.01+0.01+0+0</f>
        <v>0.02</v>
      </c>
      <c r="L60" s="24">
        <v>0.02</v>
      </c>
      <c r="M60" s="45">
        <f t="shared" si="0"/>
        <v>100.01</v>
      </c>
      <c r="N60" s="25"/>
      <c r="O60" s="27"/>
      <c r="P60" s="28"/>
    </row>
    <row r="61" spans="1:20" ht="17.25">
      <c r="A61" s="36" t="s">
        <v>32</v>
      </c>
      <c r="B61" s="38" t="s">
        <v>41</v>
      </c>
      <c r="C61" s="36"/>
      <c r="D61" s="23" t="s">
        <v>59</v>
      </c>
      <c r="E61" s="23">
        <f>22.79+25.52+11.27</f>
        <v>59.58</v>
      </c>
      <c r="F61" s="23">
        <v>15.78</v>
      </c>
      <c r="G61" s="23">
        <v>6.67</v>
      </c>
      <c r="H61" s="23">
        <v>4.59</v>
      </c>
      <c r="I61" s="23">
        <v>4.8899999999999997</v>
      </c>
      <c r="J61" s="24">
        <v>2.71</v>
      </c>
      <c r="K61" s="24">
        <f>1.28+0.99+0.78+0.65</f>
        <v>3.6999999999999997</v>
      </c>
      <c r="L61" s="24">
        <f>1.33+0.77</f>
        <v>2.1</v>
      </c>
      <c r="M61" s="45">
        <f t="shared" si="0"/>
        <v>100.02</v>
      </c>
      <c r="N61" s="25"/>
      <c r="O61" s="27"/>
      <c r="P61" s="28"/>
    </row>
    <row r="62" spans="1:20" ht="17.25">
      <c r="A62" s="36" t="s">
        <v>33</v>
      </c>
      <c r="B62" s="38" t="s">
        <v>41</v>
      </c>
      <c r="C62" s="36"/>
      <c r="D62" s="23" t="s">
        <v>59</v>
      </c>
      <c r="E62" s="23">
        <f>1.7+9.91+9.99</f>
        <v>21.6</v>
      </c>
      <c r="F62" s="23">
        <v>26.3</v>
      </c>
      <c r="G62" s="23">
        <v>21.92</v>
      </c>
      <c r="H62" s="23">
        <v>17.73</v>
      </c>
      <c r="I62" s="23">
        <v>10.46</v>
      </c>
      <c r="J62" s="24">
        <v>1.63</v>
      </c>
      <c r="K62" s="24">
        <f>0.25+0.07+0.02+0.02</f>
        <v>0.36000000000000004</v>
      </c>
      <c r="L62" s="24">
        <v>0</v>
      </c>
      <c r="M62" s="45">
        <f t="shared" si="0"/>
        <v>100.00000000000001</v>
      </c>
      <c r="N62" s="25"/>
      <c r="O62" s="27"/>
    </row>
    <row r="63" spans="1:20" ht="17.25">
      <c r="A63" s="36" t="s">
        <v>34</v>
      </c>
      <c r="B63" s="38" t="s">
        <v>41</v>
      </c>
      <c r="C63" s="36"/>
      <c r="D63" s="23">
        <v>0</v>
      </c>
      <c r="E63" s="23">
        <f>0.89+23.27+14.07</f>
        <v>38.230000000000004</v>
      </c>
      <c r="F63" s="23">
        <v>21.83</v>
      </c>
      <c r="G63" s="23">
        <v>12.78</v>
      </c>
      <c r="H63" s="23">
        <v>11.24</v>
      </c>
      <c r="I63" s="23">
        <v>11.33</v>
      </c>
      <c r="J63" s="24">
        <v>3.64</v>
      </c>
      <c r="K63" s="24">
        <f>0.64+0.21+0.05+0.04</f>
        <v>0.94000000000000006</v>
      </c>
      <c r="L63" s="24">
        <v>0.03</v>
      </c>
      <c r="M63" s="45">
        <f t="shared" si="0"/>
        <v>100.02</v>
      </c>
      <c r="N63" s="25"/>
      <c r="O63" s="27"/>
    </row>
    <row r="64" spans="1:20" ht="17.25">
      <c r="A64" s="36" t="s">
        <v>35</v>
      </c>
      <c r="B64" s="38" t="s">
        <v>41</v>
      </c>
      <c r="C64" s="36"/>
      <c r="D64" s="23">
        <v>0.05</v>
      </c>
      <c r="E64" s="23">
        <f>0.8+3.01+8.89</f>
        <v>12.7</v>
      </c>
      <c r="F64" s="23">
        <v>19.760000000000002</v>
      </c>
      <c r="G64" s="23">
        <v>17.45</v>
      </c>
      <c r="H64" s="23">
        <v>19.34</v>
      </c>
      <c r="I64" s="23">
        <v>20.82</v>
      </c>
      <c r="J64" s="24">
        <v>7.15</v>
      </c>
      <c r="K64" s="24">
        <f>1.64+0.55+0.25+0.12</f>
        <v>2.56</v>
      </c>
      <c r="L64" s="24">
        <v>0.17</v>
      </c>
      <c r="M64" s="45">
        <f t="shared" si="0"/>
        <v>100.00000000000001</v>
      </c>
      <c r="N64" s="25"/>
      <c r="O64" s="27"/>
    </row>
    <row r="65" spans="1:15" ht="17.25">
      <c r="A65" s="37" t="s">
        <v>6</v>
      </c>
      <c r="B65" s="38" t="s">
        <v>41</v>
      </c>
      <c r="C65" s="37"/>
      <c r="D65" s="29">
        <v>0.03</v>
      </c>
      <c r="E65" s="29">
        <f>26.65+23.7+10.3</f>
        <v>60.649999999999991</v>
      </c>
      <c r="F65" s="29">
        <v>16.12</v>
      </c>
      <c r="G65" s="29">
        <v>9.1300000000000008</v>
      </c>
      <c r="H65" s="29">
        <v>6.8</v>
      </c>
      <c r="I65" s="29">
        <v>5.45</v>
      </c>
      <c r="J65" s="30">
        <v>1.33</v>
      </c>
      <c r="K65" s="30">
        <f>0.25+0.09+0.05+0.03</f>
        <v>0.41999999999999993</v>
      </c>
      <c r="L65" s="30">
        <v>0.06</v>
      </c>
      <c r="M65" s="46">
        <f t="shared" si="0"/>
        <v>99.99</v>
      </c>
      <c r="N65" s="27"/>
      <c r="O65" s="27"/>
    </row>
    <row r="66" spans="1:15" ht="17.25">
      <c r="A66" s="32" t="s">
        <v>68</v>
      </c>
      <c r="B66" s="32"/>
      <c r="C66" s="32"/>
      <c r="D66" s="17"/>
      <c r="E66" s="17"/>
      <c r="F66" s="17"/>
      <c r="G66" s="17"/>
      <c r="H66" s="17"/>
      <c r="I66" s="17"/>
      <c r="J66" s="17"/>
      <c r="K66" s="17"/>
      <c r="L66" s="17"/>
      <c r="M66" s="34"/>
    </row>
    <row r="67" spans="1:15" ht="17.25">
      <c r="A67" s="32" t="s">
        <v>7</v>
      </c>
      <c r="B67" s="32"/>
      <c r="C67" s="32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5" s="17" customFormat="1">
      <c r="A68" s="33" t="s">
        <v>0</v>
      </c>
      <c r="B68" s="33"/>
      <c r="C68" s="33"/>
    </row>
  </sheetData>
  <pageMargins left="1.5748031496062993" right="1.6535433070866143" top="0.59055118110236227" bottom="2.2834645669291338" header="0.51181102362204722" footer="0.51181102362204722"/>
  <pageSetup paperSize="9" scale="97" orientation="portrait" r:id="rId1"/>
  <headerFooter alignWithMargins="0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8"/>
  <sheetViews>
    <sheetView zoomScaleNormal="100" workbookViewId="0"/>
  </sheetViews>
  <sheetFormatPr baseColWidth="10" defaultColWidth="9.140625" defaultRowHeight="16.5"/>
  <cols>
    <col min="1" max="1" width="16.85546875" style="4" customWidth="1"/>
    <col min="2" max="2" width="12.140625" style="4" customWidth="1"/>
    <col min="3" max="3" width="8.7109375" style="4" customWidth="1"/>
    <col min="4" max="4" width="21.140625" style="18" customWidth="1"/>
    <col min="5" max="13" width="21.140625" style="4" customWidth="1"/>
    <col min="14" max="16384" width="9.140625" style="4"/>
  </cols>
  <sheetData>
    <row r="1" spans="1:16" ht="17.25">
      <c r="A1" s="35" t="s">
        <v>60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ht="17.25">
      <c r="A2" s="20" t="s">
        <v>55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16"/>
    </row>
    <row r="3" spans="1:16">
      <c r="A3" s="20" t="s">
        <v>4</v>
      </c>
      <c r="B3" s="20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6">
      <c r="A4" s="20" t="s">
        <v>53</v>
      </c>
      <c r="B4" s="20"/>
      <c r="C4" s="20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6" ht="39.75" customHeight="1">
      <c r="A5" s="44" t="s">
        <v>5</v>
      </c>
      <c r="B5" s="47" t="s">
        <v>39</v>
      </c>
      <c r="C5" s="47" t="s">
        <v>40</v>
      </c>
      <c r="D5" s="41" t="s">
        <v>36</v>
      </c>
      <c r="E5" s="42" t="s">
        <v>44</v>
      </c>
      <c r="F5" s="42" t="s">
        <v>49</v>
      </c>
      <c r="G5" s="42" t="s">
        <v>50</v>
      </c>
      <c r="H5" s="42" t="s">
        <v>51</v>
      </c>
      <c r="I5" s="42" t="s">
        <v>48</v>
      </c>
      <c r="J5" s="42" t="s">
        <v>47</v>
      </c>
      <c r="K5" s="42" t="s">
        <v>46</v>
      </c>
      <c r="L5" s="42" t="s">
        <v>45</v>
      </c>
      <c r="M5" s="43" t="s">
        <v>37</v>
      </c>
    </row>
    <row r="6" spans="1:16" ht="17.25">
      <c r="A6" s="36" t="s">
        <v>8</v>
      </c>
      <c r="B6" s="38" t="s">
        <v>43</v>
      </c>
      <c r="C6" s="36"/>
      <c r="D6" s="5">
        <v>2E-3</v>
      </c>
      <c r="E6" s="6">
        <v>6.7690000000000001</v>
      </c>
      <c r="F6" s="6">
        <v>5.4189999999999996</v>
      </c>
      <c r="G6" s="6">
        <v>5.4409999999999998</v>
      </c>
      <c r="H6" s="6">
        <v>7.4870000000000001</v>
      </c>
      <c r="I6" s="6">
        <v>7.7629999999999999</v>
      </c>
      <c r="J6" s="7">
        <v>1.6140000000000001</v>
      </c>
      <c r="K6" s="7">
        <v>0.23599999999999999</v>
      </c>
      <c r="L6" s="8">
        <v>1E-3</v>
      </c>
      <c r="M6" s="6">
        <v>34.731999999999992</v>
      </c>
      <c r="N6" s="9"/>
      <c r="O6" s="1"/>
      <c r="P6" s="6"/>
    </row>
    <row r="7" spans="1:16" ht="17.25">
      <c r="A7" s="36" t="s">
        <v>9</v>
      </c>
      <c r="B7" s="38" t="s">
        <v>43</v>
      </c>
      <c r="C7" s="36"/>
      <c r="D7" s="5">
        <v>1E-3</v>
      </c>
      <c r="E7" s="6">
        <v>69.147999999999996</v>
      </c>
      <c r="F7" s="6">
        <v>12.247999999999999</v>
      </c>
      <c r="G7" s="6">
        <v>8.1920000000000002</v>
      </c>
      <c r="H7" s="6">
        <v>4.2949999999999999</v>
      </c>
      <c r="I7" s="6">
        <v>2.4729999999999999</v>
      </c>
      <c r="J7" s="7">
        <v>1.3029999999999999</v>
      </c>
      <c r="K7" s="7">
        <v>1.115</v>
      </c>
      <c r="L7" s="8">
        <v>0.16700000000000001</v>
      </c>
      <c r="M7" s="6">
        <v>98.941999999999993</v>
      </c>
      <c r="N7" s="9"/>
      <c r="O7" s="1"/>
    </row>
    <row r="8" spans="1:16" ht="17.25">
      <c r="A8" s="36" t="s">
        <v>10</v>
      </c>
      <c r="B8" s="38" t="s">
        <v>43</v>
      </c>
      <c r="C8" s="36"/>
      <c r="D8" s="10">
        <v>0</v>
      </c>
      <c r="E8" s="6">
        <v>12.115</v>
      </c>
      <c r="F8" s="6">
        <v>5.8940000000000001</v>
      </c>
      <c r="G8" s="6">
        <v>3.6459999999999999</v>
      </c>
      <c r="H8" s="6">
        <v>2.7989999999999999</v>
      </c>
      <c r="I8" s="6">
        <v>2.3660000000000001</v>
      </c>
      <c r="J8" s="7">
        <v>1</v>
      </c>
      <c r="K8" s="7">
        <v>1.2869999999999999</v>
      </c>
      <c r="L8" s="8">
        <v>0.747</v>
      </c>
      <c r="M8" s="6">
        <v>29.853999999999999</v>
      </c>
      <c r="N8" s="9"/>
      <c r="O8" s="1"/>
    </row>
    <row r="9" spans="1:16" ht="17.25">
      <c r="A9" s="36" t="s">
        <v>11</v>
      </c>
      <c r="B9" s="38" t="s">
        <v>43</v>
      </c>
      <c r="C9" s="36"/>
      <c r="D9" s="5">
        <v>4.9000000000000002E-2</v>
      </c>
      <c r="E9" s="6">
        <v>10.220000000000001</v>
      </c>
      <c r="F9" s="6">
        <v>9.3889999999999993</v>
      </c>
      <c r="G9" s="6">
        <v>6.2720000000000002</v>
      </c>
      <c r="H9" s="6">
        <v>5.242</v>
      </c>
      <c r="I9" s="6">
        <v>6.0570000000000004</v>
      </c>
      <c r="J9" s="7">
        <v>3.88</v>
      </c>
      <c r="K9" s="7">
        <v>0.73499999999999999</v>
      </c>
      <c r="L9" s="8">
        <v>8.5999999999999993E-2</v>
      </c>
      <c r="M9" s="6">
        <v>41.93</v>
      </c>
      <c r="N9" s="9"/>
      <c r="O9" s="1"/>
    </row>
    <row r="10" spans="1:16" ht="17.25">
      <c r="A10" s="37" t="s">
        <v>12</v>
      </c>
      <c r="B10" s="38" t="s">
        <v>43</v>
      </c>
      <c r="C10" s="37"/>
      <c r="D10" s="11">
        <v>3.1E-2</v>
      </c>
      <c r="E10" s="12">
        <v>74.078999999999994</v>
      </c>
      <c r="F10" s="12">
        <v>58.215000000000003</v>
      </c>
      <c r="G10" s="12">
        <v>56.237000000000002</v>
      </c>
      <c r="H10" s="12">
        <v>60.848999999999997</v>
      </c>
      <c r="I10" s="12">
        <v>51.843000000000004</v>
      </c>
      <c r="J10" s="13">
        <v>9.65</v>
      </c>
      <c r="K10" s="13">
        <v>4.3609999999999998</v>
      </c>
      <c r="L10" s="14">
        <v>1.335</v>
      </c>
      <c r="M10" s="39">
        <v>316.59999999999991</v>
      </c>
      <c r="N10" s="9"/>
      <c r="O10" s="2"/>
    </row>
    <row r="11" spans="1:16" ht="17.25">
      <c r="A11" s="36" t="s">
        <v>13</v>
      </c>
      <c r="B11" s="38" t="s">
        <v>43</v>
      </c>
      <c r="C11" s="36"/>
      <c r="D11" s="19" t="s">
        <v>61</v>
      </c>
      <c r="E11" s="15">
        <v>11.342000000000001</v>
      </c>
      <c r="F11" s="15">
        <v>2.6749999999999998</v>
      </c>
      <c r="G11" s="15">
        <v>1.155</v>
      </c>
      <c r="H11" s="15">
        <v>0.82699999999999996</v>
      </c>
      <c r="I11" s="15">
        <v>0.72299999999999998</v>
      </c>
      <c r="J11" s="7">
        <v>0.27900000000000003</v>
      </c>
      <c r="K11" s="7">
        <v>0.17100000000000001</v>
      </c>
      <c r="L11" s="8">
        <v>1.2E-2</v>
      </c>
      <c r="M11" s="6">
        <v>17.183999999999997</v>
      </c>
      <c r="N11" s="9"/>
      <c r="O11" s="1"/>
    </row>
    <row r="12" spans="1:16" ht="17.25">
      <c r="A12" s="36" t="s">
        <v>14</v>
      </c>
      <c r="B12" s="38" t="s">
        <v>43</v>
      </c>
      <c r="C12" s="36"/>
      <c r="D12" s="7">
        <v>1.7000000000000001E-2</v>
      </c>
      <c r="E12" s="15">
        <v>23.207999999999998</v>
      </c>
      <c r="F12" s="15">
        <v>28.82</v>
      </c>
      <c r="G12" s="15">
        <v>32.911999999999999</v>
      </c>
      <c r="H12" s="15">
        <v>23.975999999999999</v>
      </c>
      <c r="I12" s="15">
        <v>13.103</v>
      </c>
      <c r="J12" s="7">
        <v>1.851</v>
      </c>
      <c r="K12" s="7">
        <v>0.25900000000000001</v>
      </c>
      <c r="L12" s="8">
        <v>2E-3</v>
      </c>
      <c r="M12" s="6">
        <v>124.14799999999998</v>
      </c>
      <c r="N12" s="9"/>
      <c r="O12" s="1"/>
    </row>
    <row r="13" spans="1:16" ht="17.25">
      <c r="A13" s="36" t="s">
        <v>15</v>
      </c>
      <c r="B13" s="38" t="s">
        <v>43</v>
      </c>
      <c r="C13" s="36"/>
      <c r="D13" s="7">
        <v>3.3000000000000002E-2</v>
      </c>
      <c r="E13" s="15">
        <v>428.44200000000001</v>
      </c>
      <c r="F13" s="15">
        <v>142.49199999999999</v>
      </c>
      <c r="G13" s="15">
        <v>72.661000000000001</v>
      </c>
      <c r="H13" s="15">
        <v>32.396000000000001</v>
      </c>
      <c r="I13" s="15">
        <v>11.849</v>
      </c>
      <c r="J13" s="7">
        <v>1.083</v>
      </c>
      <c r="K13" s="7">
        <v>7.0999999999999994E-2</v>
      </c>
      <c r="L13" s="8" t="s">
        <v>61</v>
      </c>
      <c r="M13" s="6">
        <v>689.02699999999993</v>
      </c>
      <c r="N13" s="9"/>
      <c r="O13" s="3"/>
    </row>
    <row r="14" spans="1:16" ht="17.25">
      <c r="A14" s="36" t="s">
        <v>16</v>
      </c>
      <c r="B14" s="38" t="s">
        <v>43</v>
      </c>
      <c r="C14" s="36"/>
      <c r="D14" s="7">
        <v>0.04</v>
      </c>
      <c r="E14" s="15">
        <v>478.51</v>
      </c>
      <c r="F14" s="15">
        <v>144.35599999999999</v>
      </c>
      <c r="G14" s="15">
        <v>84.307000000000002</v>
      </c>
      <c r="H14" s="15">
        <v>66.42</v>
      </c>
      <c r="I14" s="15">
        <v>47.591000000000001</v>
      </c>
      <c r="J14" s="7">
        <v>10.081</v>
      </c>
      <c r="K14" s="7">
        <v>3.2440000000000002</v>
      </c>
      <c r="L14" s="8">
        <v>0.309</v>
      </c>
      <c r="M14" s="6">
        <v>834.85799999999995</v>
      </c>
      <c r="N14" s="9"/>
      <c r="O14" s="3"/>
    </row>
    <row r="15" spans="1:16" ht="17.25">
      <c r="A15" s="36" t="s">
        <v>17</v>
      </c>
      <c r="B15" s="38" t="s">
        <v>43</v>
      </c>
      <c r="C15" s="36"/>
      <c r="D15" s="7">
        <v>9.2999999999999999E-2</v>
      </c>
      <c r="E15" s="15">
        <v>69.558999999999997</v>
      </c>
      <c r="F15" s="15">
        <v>37.645000000000003</v>
      </c>
      <c r="G15" s="15">
        <v>37.950000000000003</v>
      </c>
      <c r="H15" s="15">
        <v>65.31</v>
      </c>
      <c r="I15" s="15">
        <v>107.05800000000001</v>
      </c>
      <c r="J15" s="7">
        <v>32.07</v>
      </c>
      <c r="K15" s="7">
        <v>4.0540000000000003</v>
      </c>
      <c r="L15" s="8">
        <v>0.13100000000000001</v>
      </c>
      <c r="M15" s="6">
        <v>353.86999999999995</v>
      </c>
      <c r="N15" s="9"/>
      <c r="O15" s="3"/>
    </row>
    <row r="16" spans="1:16" ht="17.25">
      <c r="A16" s="36" t="s">
        <v>18</v>
      </c>
      <c r="B16" s="38" t="s">
        <v>43</v>
      </c>
      <c r="C16" s="36"/>
      <c r="D16" s="7">
        <v>0.15</v>
      </c>
      <c r="E16" s="15">
        <v>83.653999999999996</v>
      </c>
      <c r="F16" s="15">
        <v>6.931</v>
      </c>
      <c r="G16" s="15">
        <v>3.3290000000000002</v>
      </c>
      <c r="H16" s="15">
        <v>1.575</v>
      </c>
      <c r="I16" s="15">
        <v>0.53</v>
      </c>
      <c r="J16" s="7">
        <v>8.8999999999999996E-2</v>
      </c>
      <c r="K16" s="7">
        <v>5.1999999999999998E-2</v>
      </c>
      <c r="L16" s="8">
        <v>0.02</v>
      </c>
      <c r="M16" s="6">
        <v>96.33</v>
      </c>
      <c r="N16" s="9"/>
      <c r="O16" s="3"/>
    </row>
    <row r="17" spans="1:15" ht="17.25">
      <c r="A17" s="36" t="s">
        <v>19</v>
      </c>
      <c r="B17" s="38" t="s">
        <v>43</v>
      </c>
      <c r="C17" s="36"/>
      <c r="D17" s="7">
        <v>0.26100000000000001</v>
      </c>
      <c r="E17" s="15">
        <v>828.46600000000001</v>
      </c>
      <c r="F17" s="15">
        <v>147.042</v>
      </c>
      <c r="G17" s="15">
        <v>70.06</v>
      </c>
      <c r="H17" s="15">
        <v>41.6</v>
      </c>
      <c r="I17" s="15">
        <v>24.780999999999999</v>
      </c>
      <c r="J17" s="7">
        <v>7.351</v>
      </c>
      <c r="K17" s="7">
        <v>3.0640000000000001</v>
      </c>
      <c r="L17" s="8">
        <v>0.32800000000000001</v>
      </c>
      <c r="M17" s="6">
        <v>1122.953</v>
      </c>
      <c r="N17" s="9"/>
      <c r="O17" s="1"/>
    </row>
    <row r="18" spans="1:15" ht="17.25">
      <c r="A18" s="36" t="s">
        <v>20</v>
      </c>
      <c r="B18" s="38" t="s">
        <v>43</v>
      </c>
      <c r="C18" s="36"/>
      <c r="D18" s="7">
        <v>0.01</v>
      </c>
      <c r="E18" s="15">
        <v>28.49</v>
      </c>
      <c r="F18" s="15">
        <v>2.5640000000000001</v>
      </c>
      <c r="G18" s="15">
        <v>0.96699999999999997</v>
      </c>
      <c r="H18" s="15">
        <v>0.55400000000000005</v>
      </c>
      <c r="I18" s="15">
        <v>0.29499999999999998</v>
      </c>
      <c r="J18" s="7">
        <v>5.8999999999999997E-2</v>
      </c>
      <c r="K18" s="7">
        <v>1.0999999999999999E-2</v>
      </c>
      <c r="L18" s="48" t="s">
        <v>61</v>
      </c>
      <c r="M18" s="6">
        <v>32.950000000000003</v>
      </c>
      <c r="N18" s="9"/>
      <c r="O18" s="1"/>
    </row>
    <row r="19" spans="1:15" ht="17.25">
      <c r="A19" s="36" t="s">
        <v>21</v>
      </c>
      <c r="B19" s="38" t="s">
        <v>43</v>
      </c>
      <c r="C19" s="36"/>
      <c r="D19" s="19" t="s">
        <v>61</v>
      </c>
      <c r="E19" s="15">
        <v>48.691000000000003</v>
      </c>
      <c r="F19" s="15">
        <v>6.5330000000000004</v>
      </c>
      <c r="G19" s="15">
        <v>2.4470000000000001</v>
      </c>
      <c r="H19" s="15">
        <v>1.444</v>
      </c>
      <c r="I19" s="15">
        <v>0.878</v>
      </c>
      <c r="J19" s="7">
        <v>0.26500000000000001</v>
      </c>
      <c r="K19" s="7">
        <v>0.128</v>
      </c>
      <c r="L19" s="8">
        <v>8.0000000000000002E-3</v>
      </c>
      <c r="M19" s="6">
        <v>60.394000000000013</v>
      </c>
      <c r="N19" s="9"/>
      <c r="O19" s="1"/>
    </row>
    <row r="20" spans="1:15" ht="17.25">
      <c r="A20" s="36" t="s">
        <v>22</v>
      </c>
      <c r="B20" s="38" t="s">
        <v>43</v>
      </c>
      <c r="C20" s="36"/>
      <c r="D20" s="7">
        <v>5.5E-2</v>
      </c>
      <c r="E20" s="15">
        <v>107.402</v>
      </c>
      <c r="F20" s="15">
        <v>17.835999999999999</v>
      </c>
      <c r="G20" s="15">
        <v>7.6189999999999998</v>
      </c>
      <c r="H20" s="15">
        <v>4.1879999999999997</v>
      </c>
      <c r="I20" s="15">
        <v>2.2389999999999999</v>
      </c>
      <c r="J20" s="7">
        <v>0.503</v>
      </c>
      <c r="K20" s="7">
        <v>0.223</v>
      </c>
      <c r="L20" s="8">
        <v>4.2000000000000003E-2</v>
      </c>
      <c r="M20" s="6">
        <v>140.107</v>
      </c>
      <c r="N20" s="9"/>
      <c r="O20" s="1"/>
    </row>
    <row r="21" spans="1:15" ht="17.25">
      <c r="A21" s="36" t="s">
        <v>23</v>
      </c>
      <c r="B21" s="38" t="s">
        <v>43</v>
      </c>
      <c r="C21" s="36"/>
      <c r="D21" s="19" t="s">
        <v>61</v>
      </c>
      <c r="E21" s="15">
        <v>0.32800000000000001</v>
      </c>
      <c r="F21" s="15">
        <v>0.22700000000000001</v>
      </c>
      <c r="G21" s="15">
        <v>0.20699999999999999</v>
      </c>
      <c r="H21" s="15">
        <v>0.40400000000000003</v>
      </c>
      <c r="I21" s="15">
        <v>0.6</v>
      </c>
      <c r="J21" s="7">
        <v>9.1999999999999998E-2</v>
      </c>
      <c r="K21" s="7">
        <v>7.0000000000000001E-3</v>
      </c>
      <c r="L21" s="19" t="s">
        <v>61</v>
      </c>
      <c r="M21" s="6">
        <v>1.865</v>
      </c>
      <c r="N21" s="9"/>
      <c r="O21" s="1"/>
    </row>
    <row r="22" spans="1:15" ht="17.25">
      <c r="A22" s="36" t="s">
        <v>24</v>
      </c>
      <c r="B22" s="38" t="s">
        <v>43</v>
      </c>
      <c r="C22" s="36"/>
      <c r="D22" s="7">
        <v>0.39100000000000001</v>
      </c>
      <c r="E22" s="15">
        <v>106.587</v>
      </c>
      <c r="F22" s="15">
        <v>32.192</v>
      </c>
      <c r="G22" s="15">
        <v>14.613</v>
      </c>
      <c r="H22" s="15">
        <v>9.0060000000000002</v>
      </c>
      <c r="I22" s="15">
        <v>6.7789999999999999</v>
      </c>
      <c r="J22" s="7">
        <v>2.4929999999999999</v>
      </c>
      <c r="K22" s="7">
        <v>1.125</v>
      </c>
      <c r="L22" s="8">
        <v>0.49199999999999999</v>
      </c>
      <c r="M22" s="6">
        <v>173.678</v>
      </c>
      <c r="N22" s="9"/>
      <c r="O22" s="1"/>
    </row>
    <row r="23" spans="1:15" ht="17.25">
      <c r="A23" s="36" t="s">
        <v>25</v>
      </c>
      <c r="B23" s="38" t="s">
        <v>43</v>
      </c>
      <c r="C23" s="36"/>
      <c r="D23" s="19" t="s">
        <v>61</v>
      </c>
      <c r="E23" s="15">
        <v>5.601</v>
      </c>
      <c r="F23" s="15">
        <v>0.24</v>
      </c>
      <c r="G23" s="15">
        <v>6.4000000000000001E-2</v>
      </c>
      <c r="H23" s="15">
        <v>4.2000000000000003E-2</v>
      </c>
      <c r="I23" s="15">
        <v>4.2999999999999997E-2</v>
      </c>
      <c r="J23" s="7">
        <v>6.0000000000000001E-3</v>
      </c>
      <c r="K23" s="7" t="s">
        <v>61</v>
      </c>
      <c r="L23" s="19" t="s">
        <v>61</v>
      </c>
      <c r="M23" s="6">
        <v>5.9960000000000004</v>
      </c>
      <c r="N23" s="9"/>
      <c r="O23" s="1"/>
    </row>
    <row r="24" spans="1:15" ht="17.25">
      <c r="A24" s="36" t="s">
        <v>26</v>
      </c>
      <c r="B24" s="38" t="s">
        <v>43</v>
      </c>
      <c r="C24" s="36"/>
      <c r="D24" s="19" t="s">
        <v>61</v>
      </c>
      <c r="E24" s="15">
        <v>9.4390000000000001</v>
      </c>
      <c r="F24" s="15">
        <v>7.101</v>
      </c>
      <c r="G24" s="15">
        <v>6.1840000000000002</v>
      </c>
      <c r="H24" s="15">
        <v>9.7750000000000004</v>
      </c>
      <c r="I24" s="15">
        <v>11.974</v>
      </c>
      <c r="J24" s="7">
        <v>2.02</v>
      </c>
      <c r="K24" s="7">
        <v>0.48299999999999998</v>
      </c>
      <c r="L24" s="8">
        <v>1.7000000000000001E-2</v>
      </c>
      <c r="M24" s="6">
        <v>46.993000000000002</v>
      </c>
      <c r="N24" s="9"/>
      <c r="O24" s="1"/>
    </row>
    <row r="25" spans="1:15" ht="17.25">
      <c r="A25" s="36" t="s">
        <v>27</v>
      </c>
      <c r="B25" s="38" t="s">
        <v>43</v>
      </c>
      <c r="C25" s="36"/>
      <c r="D25" s="7" t="s">
        <v>61</v>
      </c>
      <c r="E25" s="15">
        <v>35.396999999999998</v>
      </c>
      <c r="F25" s="15">
        <v>28.125</v>
      </c>
      <c r="G25" s="15">
        <v>22.652999999999999</v>
      </c>
      <c r="H25" s="15">
        <v>14.901</v>
      </c>
      <c r="I25" s="15">
        <v>5.9669999999999996</v>
      </c>
      <c r="J25" s="7">
        <v>0.39800000000000002</v>
      </c>
      <c r="K25" s="7">
        <v>7.9000000000000001E-2</v>
      </c>
      <c r="L25" s="8">
        <v>8.0000000000000002E-3</v>
      </c>
      <c r="M25" s="6">
        <v>107.52799999999998</v>
      </c>
      <c r="N25" s="9"/>
      <c r="O25" s="1"/>
    </row>
    <row r="26" spans="1:15" ht="17.25">
      <c r="A26" s="36" t="s">
        <v>28</v>
      </c>
      <c r="B26" s="38" t="s">
        <v>43</v>
      </c>
      <c r="C26" s="36"/>
      <c r="D26" s="7">
        <v>3.1E-2</v>
      </c>
      <c r="E26" s="15">
        <v>942.06100000000004</v>
      </c>
      <c r="F26" s="15">
        <v>284.108</v>
      </c>
      <c r="G26" s="15">
        <v>81.054000000000002</v>
      </c>
      <c r="H26" s="15">
        <v>26.73</v>
      </c>
      <c r="I26" s="15">
        <v>10.214</v>
      </c>
      <c r="J26" s="7">
        <v>2.464</v>
      </c>
      <c r="K26" s="7">
        <v>1.224</v>
      </c>
      <c r="L26" s="8">
        <v>0.20699999999999999</v>
      </c>
      <c r="M26" s="6">
        <v>1348.0930000000001</v>
      </c>
      <c r="N26" s="9"/>
      <c r="O26" s="1"/>
    </row>
    <row r="27" spans="1:15" ht="17.25">
      <c r="A27" s="36" t="s">
        <v>29</v>
      </c>
      <c r="B27" s="38" t="s">
        <v>43</v>
      </c>
      <c r="C27" s="36"/>
      <c r="D27" s="7">
        <v>2.5999999999999999E-2</v>
      </c>
      <c r="E27" s="15">
        <v>118.532</v>
      </c>
      <c r="F27" s="15">
        <v>18.552</v>
      </c>
      <c r="G27" s="15">
        <v>9.7919999999999998</v>
      </c>
      <c r="H27" s="15">
        <v>6.5510000000000002</v>
      </c>
      <c r="I27" s="15">
        <v>4.0659999999999998</v>
      </c>
      <c r="J27" s="7">
        <v>1.444</v>
      </c>
      <c r="K27" s="7">
        <v>0.754</v>
      </c>
      <c r="L27" s="8">
        <v>4.2000000000000003E-2</v>
      </c>
      <c r="M27" s="6">
        <v>159.75899999999996</v>
      </c>
      <c r="N27" s="9"/>
      <c r="O27" s="1"/>
    </row>
    <row r="28" spans="1:15" ht="17.25">
      <c r="A28" s="36" t="s">
        <v>30</v>
      </c>
      <c r="B28" s="38" t="s">
        <v>43</v>
      </c>
      <c r="C28" s="36"/>
      <c r="D28" s="7">
        <v>1.6E-2</v>
      </c>
      <c r="E28" s="15">
        <v>984.05</v>
      </c>
      <c r="F28" s="15">
        <v>35.485999999999997</v>
      </c>
      <c r="G28" s="15">
        <v>13.414</v>
      </c>
      <c r="H28" s="15">
        <v>7.38</v>
      </c>
      <c r="I28" s="15">
        <v>5.7880000000000003</v>
      </c>
      <c r="J28" s="7">
        <v>2.3580000000000001</v>
      </c>
      <c r="K28" s="7">
        <v>1.3740000000000001</v>
      </c>
      <c r="L28" s="8">
        <v>0.19900000000000001</v>
      </c>
      <c r="M28" s="6">
        <v>1050.0650000000001</v>
      </c>
      <c r="N28" s="9"/>
      <c r="O28" s="1"/>
    </row>
    <row r="29" spans="1:15" ht="17.25">
      <c r="A29" s="36" t="s">
        <v>31</v>
      </c>
      <c r="B29" s="38" t="s">
        <v>43</v>
      </c>
      <c r="C29" s="36"/>
      <c r="D29" s="7" t="s">
        <v>61</v>
      </c>
      <c r="E29" s="15">
        <v>38.469000000000001</v>
      </c>
      <c r="F29" s="15">
        <v>12.162000000000001</v>
      </c>
      <c r="G29" s="15">
        <v>4.008</v>
      </c>
      <c r="H29" s="15">
        <v>1.3919999999999999</v>
      </c>
      <c r="I29" s="15">
        <v>0.379</v>
      </c>
      <c r="J29" s="7">
        <v>2.9000000000000001E-2</v>
      </c>
      <c r="K29" s="7">
        <v>8.0000000000000002E-3</v>
      </c>
      <c r="L29" s="8">
        <v>0.01</v>
      </c>
      <c r="M29" s="6">
        <v>56.457000000000008</v>
      </c>
      <c r="N29" s="9"/>
      <c r="O29" s="1"/>
    </row>
    <row r="30" spans="1:15" ht="17.25">
      <c r="A30" s="36" t="s">
        <v>32</v>
      </c>
      <c r="B30" s="38" t="s">
        <v>43</v>
      </c>
      <c r="C30" s="36"/>
      <c r="D30" s="19" t="s">
        <v>61</v>
      </c>
      <c r="E30" s="15">
        <v>10.537000000000001</v>
      </c>
      <c r="F30" s="15">
        <v>2.8620000000000001</v>
      </c>
      <c r="G30" s="15">
        <v>1.1000000000000001</v>
      </c>
      <c r="H30" s="15">
        <v>0.80600000000000005</v>
      </c>
      <c r="I30" s="15">
        <v>0.84899999999999998</v>
      </c>
      <c r="J30" s="7">
        <v>0.45100000000000001</v>
      </c>
      <c r="K30" s="7">
        <v>0.65300000000000002</v>
      </c>
      <c r="L30" s="8">
        <v>0.40699999999999997</v>
      </c>
      <c r="M30" s="6">
        <v>17.664999999999999</v>
      </c>
      <c r="N30" s="9"/>
      <c r="O30" s="1"/>
    </row>
    <row r="31" spans="1:15" ht="17.25">
      <c r="A31" s="36" t="s">
        <v>33</v>
      </c>
      <c r="B31" s="38" t="s">
        <v>43</v>
      </c>
      <c r="C31" s="36"/>
      <c r="D31" s="19" t="s">
        <v>61</v>
      </c>
      <c r="E31" s="15">
        <v>11.881</v>
      </c>
      <c r="F31" s="15">
        <v>14.186</v>
      </c>
      <c r="G31" s="15">
        <v>12.792999999999999</v>
      </c>
      <c r="H31" s="15">
        <v>10.522</v>
      </c>
      <c r="I31" s="15">
        <v>5.7590000000000003</v>
      </c>
      <c r="J31" s="7">
        <v>0.66400000000000003</v>
      </c>
      <c r="K31" s="7">
        <v>9.5000000000000001E-2</v>
      </c>
      <c r="L31" s="8" t="s">
        <v>61</v>
      </c>
      <c r="M31" s="6">
        <v>55.9</v>
      </c>
      <c r="N31" s="9"/>
      <c r="O31" s="1"/>
    </row>
    <row r="32" spans="1:15" ht="17.25">
      <c r="A32" s="36" t="s">
        <v>34</v>
      </c>
      <c r="B32" s="38" t="s">
        <v>43</v>
      </c>
      <c r="C32" s="36"/>
      <c r="D32" s="7">
        <v>2E-3</v>
      </c>
      <c r="E32" s="15">
        <v>22.672000000000001</v>
      </c>
      <c r="F32" s="15">
        <v>13.641999999999999</v>
      </c>
      <c r="G32" s="15">
        <v>8.4090000000000007</v>
      </c>
      <c r="H32" s="15">
        <v>7.1879999999999997</v>
      </c>
      <c r="I32" s="15">
        <v>6.9729999999999999</v>
      </c>
      <c r="J32" s="7">
        <v>2.1379999999999999</v>
      </c>
      <c r="K32" s="7">
        <v>0.58499999999999996</v>
      </c>
      <c r="L32" s="8">
        <v>2.1000000000000001E-2</v>
      </c>
      <c r="M32" s="6">
        <v>61.63</v>
      </c>
      <c r="N32" s="9"/>
      <c r="O32" s="1"/>
    </row>
    <row r="33" spans="1:17" ht="17.25">
      <c r="A33" s="36" t="s">
        <v>35</v>
      </c>
      <c r="B33" s="38" t="s">
        <v>43</v>
      </c>
      <c r="C33" s="36"/>
      <c r="D33" s="7">
        <v>0.05</v>
      </c>
      <c r="E33" s="15">
        <v>40.072000000000003</v>
      </c>
      <c r="F33" s="15">
        <v>28.347000000000001</v>
      </c>
      <c r="G33" s="15">
        <v>25.007999999999999</v>
      </c>
      <c r="H33" s="15">
        <v>27.867000000000001</v>
      </c>
      <c r="I33" s="15">
        <v>30.137</v>
      </c>
      <c r="J33" s="7">
        <v>10.49</v>
      </c>
      <c r="K33" s="7">
        <v>3.9260000000000002</v>
      </c>
      <c r="L33" s="8">
        <v>0.28899999999999998</v>
      </c>
      <c r="M33" s="6">
        <v>166.18599999999998</v>
      </c>
      <c r="N33" s="9"/>
      <c r="O33" s="1"/>
    </row>
    <row r="34" spans="1:17" ht="17.25">
      <c r="A34" s="40" t="s">
        <v>6</v>
      </c>
      <c r="B34" s="38" t="s">
        <v>43</v>
      </c>
      <c r="C34" s="40"/>
      <c r="D34" s="13">
        <v>1.258</v>
      </c>
      <c r="E34" s="12">
        <v>4605.7209999999995</v>
      </c>
      <c r="F34" s="12">
        <v>1105.289</v>
      </c>
      <c r="G34" s="12">
        <v>592.49400000000003</v>
      </c>
      <c r="H34" s="12">
        <v>441.52600000000001</v>
      </c>
      <c r="I34" s="12">
        <v>369.077</v>
      </c>
      <c r="J34" s="13">
        <v>96.125</v>
      </c>
      <c r="K34" s="13">
        <v>30.324000000000002</v>
      </c>
      <c r="L34" s="13">
        <v>4.88</v>
      </c>
      <c r="M34" s="39">
        <v>7246.6940000000004</v>
      </c>
      <c r="N34" s="9"/>
    </row>
    <row r="35" spans="1:17" ht="17.25">
      <c r="A35" s="20" t="s">
        <v>52</v>
      </c>
      <c r="B35" s="20"/>
      <c r="C35" s="20"/>
      <c r="D35" s="20"/>
      <c r="E35" s="20"/>
      <c r="F35" s="20"/>
      <c r="G35" s="20"/>
      <c r="H35" s="20"/>
      <c r="I35" s="20"/>
      <c r="J35" s="20"/>
      <c r="K35" s="21"/>
      <c r="L35" s="20"/>
      <c r="M35" s="20"/>
      <c r="O35" s="16"/>
    </row>
    <row r="36" spans="1:17" s="53" customFormat="1" ht="39.75" customHeight="1">
      <c r="A36" s="44" t="s">
        <v>5</v>
      </c>
      <c r="B36" s="49" t="s">
        <v>39</v>
      </c>
      <c r="C36" s="49" t="s">
        <v>40</v>
      </c>
      <c r="D36" s="50" t="s">
        <v>36</v>
      </c>
      <c r="E36" s="51" t="s">
        <v>44</v>
      </c>
      <c r="F36" s="51" t="s">
        <v>49</v>
      </c>
      <c r="G36" s="51" t="s">
        <v>50</v>
      </c>
      <c r="H36" s="51" t="s">
        <v>51</v>
      </c>
      <c r="I36" s="51" t="s">
        <v>48</v>
      </c>
      <c r="J36" s="51" t="s">
        <v>47</v>
      </c>
      <c r="K36" s="51" t="s">
        <v>46</v>
      </c>
      <c r="L36" s="51" t="s">
        <v>45</v>
      </c>
      <c r="M36" s="52" t="s">
        <v>37</v>
      </c>
    </row>
    <row r="37" spans="1:17" ht="17.25">
      <c r="A37" s="36" t="s">
        <v>8</v>
      </c>
      <c r="B37" s="38" t="s">
        <v>41</v>
      </c>
      <c r="C37" s="36"/>
      <c r="D37" s="23">
        <v>0.01</v>
      </c>
      <c r="E37" s="23">
        <v>19.489999999999998</v>
      </c>
      <c r="F37" s="23">
        <v>15.6</v>
      </c>
      <c r="G37" s="23">
        <v>15.67</v>
      </c>
      <c r="H37" s="23">
        <v>21.56</v>
      </c>
      <c r="I37" s="23">
        <v>22.35</v>
      </c>
      <c r="J37" s="24">
        <v>4.6500000000000004</v>
      </c>
      <c r="K37" s="24">
        <v>0.68</v>
      </c>
      <c r="L37" s="24">
        <v>0</v>
      </c>
      <c r="M37" s="45">
        <v>100.01000000000002</v>
      </c>
      <c r="N37" s="25"/>
      <c r="O37" s="26"/>
      <c r="P37" s="6"/>
      <c r="Q37" s="27"/>
    </row>
    <row r="38" spans="1:17" ht="17.25">
      <c r="A38" s="36" t="s">
        <v>9</v>
      </c>
      <c r="B38" s="38" t="s">
        <v>41</v>
      </c>
      <c r="C38" s="36"/>
      <c r="D38" s="23">
        <v>0</v>
      </c>
      <c r="E38" s="23">
        <v>69.89</v>
      </c>
      <c r="F38" s="23">
        <v>12.38</v>
      </c>
      <c r="G38" s="23">
        <v>8.2799999999999994</v>
      </c>
      <c r="H38" s="23">
        <v>4.34</v>
      </c>
      <c r="I38" s="23">
        <v>2.5</v>
      </c>
      <c r="J38" s="24">
        <v>1.32</v>
      </c>
      <c r="K38" s="24">
        <v>1.1299999999999999</v>
      </c>
      <c r="L38" s="24">
        <v>0.17</v>
      </c>
      <c r="M38" s="45">
        <v>100.00999999999999</v>
      </c>
      <c r="N38" s="25"/>
      <c r="O38" s="27"/>
      <c r="P38" s="28"/>
    </row>
    <row r="39" spans="1:17" ht="17.25">
      <c r="A39" s="36" t="s">
        <v>10</v>
      </c>
      <c r="B39" s="38" t="s">
        <v>41</v>
      </c>
      <c r="C39" s="36"/>
      <c r="D39" s="23" t="s">
        <v>61</v>
      </c>
      <c r="E39" s="23">
        <v>40.58</v>
      </c>
      <c r="F39" s="23">
        <v>19.739999999999998</v>
      </c>
      <c r="G39" s="23">
        <v>12.21</v>
      </c>
      <c r="H39" s="23">
        <v>9.3800000000000008</v>
      </c>
      <c r="I39" s="23">
        <v>7.93</v>
      </c>
      <c r="J39" s="24">
        <v>3.35</v>
      </c>
      <c r="K39" s="24">
        <v>4.3099999999999996</v>
      </c>
      <c r="L39" s="24">
        <v>2.5</v>
      </c>
      <c r="M39" s="45">
        <v>100</v>
      </c>
      <c r="N39" s="25"/>
      <c r="O39" s="27"/>
      <c r="P39" s="28"/>
    </row>
    <row r="40" spans="1:17" ht="17.25">
      <c r="A40" s="36" t="s">
        <v>11</v>
      </c>
      <c r="B40" s="38" t="s">
        <v>41</v>
      </c>
      <c r="C40" s="36"/>
      <c r="D40" s="23">
        <v>0.11</v>
      </c>
      <c r="E40" s="23">
        <v>23.81</v>
      </c>
      <c r="F40" s="23">
        <v>21.87</v>
      </c>
      <c r="G40" s="23">
        <v>14.61</v>
      </c>
      <c r="H40" s="23">
        <v>12.21</v>
      </c>
      <c r="I40" s="23">
        <v>14.11</v>
      </c>
      <c r="J40" s="24">
        <v>9.0399999999999991</v>
      </c>
      <c r="K40" s="24">
        <v>4.04</v>
      </c>
      <c r="L40" s="24">
        <v>0.2</v>
      </c>
      <c r="M40" s="45">
        <v>100</v>
      </c>
      <c r="N40" s="25"/>
      <c r="O40" s="27"/>
    </row>
    <row r="41" spans="1:17" s="31" customFormat="1" ht="17.25">
      <c r="A41" s="37" t="s">
        <v>12</v>
      </c>
      <c r="B41" s="38" t="s">
        <v>41</v>
      </c>
      <c r="C41" s="37"/>
      <c r="D41" s="29">
        <v>0.01</v>
      </c>
      <c r="E41" s="29">
        <v>23.39</v>
      </c>
      <c r="F41" s="29">
        <v>18.39</v>
      </c>
      <c r="G41" s="29">
        <v>17.760000000000002</v>
      </c>
      <c r="H41" s="29">
        <v>19.22</v>
      </c>
      <c r="I41" s="29">
        <v>16.37</v>
      </c>
      <c r="J41" s="30">
        <v>3.05</v>
      </c>
      <c r="K41" s="30">
        <v>1.38</v>
      </c>
      <c r="L41" s="30">
        <v>0.42</v>
      </c>
      <c r="M41" s="46">
        <v>99.990000000000009</v>
      </c>
      <c r="N41" s="25"/>
      <c r="O41" s="27"/>
    </row>
    <row r="42" spans="1:17" ht="17.25">
      <c r="A42" s="36" t="s">
        <v>13</v>
      </c>
      <c r="B42" s="38" t="s">
        <v>41</v>
      </c>
      <c r="C42" s="36"/>
      <c r="D42" s="23" t="s">
        <v>61</v>
      </c>
      <c r="E42" s="23">
        <v>66</v>
      </c>
      <c r="F42" s="23">
        <v>15.57</v>
      </c>
      <c r="G42" s="23">
        <v>6.72</v>
      </c>
      <c r="H42" s="23">
        <v>4.8099999999999996</v>
      </c>
      <c r="I42" s="23">
        <v>4.21</v>
      </c>
      <c r="J42" s="24">
        <v>1.61</v>
      </c>
      <c r="K42" s="24">
        <v>0.99</v>
      </c>
      <c r="L42" s="24">
        <v>7.0000000000000001E-3</v>
      </c>
      <c r="M42" s="45">
        <v>99.916999999999987</v>
      </c>
      <c r="N42" s="25"/>
      <c r="O42" s="27"/>
    </row>
    <row r="43" spans="1:17" ht="17.25">
      <c r="A43" s="36" t="s">
        <v>14</v>
      </c>
      <c r="B43" s="38" t="s">
        <v>41</v>
      </c>
      <c r="C43" s="36"/>
      <c r="D43" s="23">
        <v>0.01</v>
      </c>
      <c r="E43" s="23">
        <v>18.7</v>
      </c>
      <c r="F43" s="23">
        <v>23.21</v>
      </c>
      <c r="G43" s="23">
        <v>26.51</v>
      </c>
      <c r="H43" s="23">
        <v>19.309999999999999</v>
      </c>
      <c r="I43" s="23">
        <v>10.55</v>
      </c>
      <c r="J43" s="24">
        <v>1.49</v>
      </c>
      <c r="K43" s="24">
        <v>0.21</v>
      </c>
      <c r="L43" s="23">
        <v>0</v>
      </c>
      <c r="M43" s="45">
        <v>99.99</v>
      </c>
      <c r="N43" s="25"/>
      <c r="O43" s="27"/>
    </row>
    <row r="44" spans="1:17" ht="17.25">
      <c r="A44" s="36" t="s">
        <v>15</v>
      </c>
      <c r="B44" s="38" t="s">
        <v>41</v>
      </c>
      <c r="C44" s="36"/>
      <c r="D44" s="23">
        <v>0</v>
      </c>
      <c r="E44" s="23">
        <v>62.13</v>
      </c>
      <c r="F44" s="23">
        <v>20.68</v>
      </c>
      <c r="G44" s="23">
        <v>10.55</v>
      </c>
      <c r="H44" s="23">
        <v>4.7</v>
      </c>
      <c r="I44" s="23">
        <v>1.72</v>
      </c>
      <c r="J44" s="24">
        <v>0.16</v>
      </c>
      <c r="K44" s="24">
        <v>0.01</v>
      </c>
      <c r="L44" s="23" t="s">
        <v>61</v>
      </c>
      <c r="M44" s="45">
        <v>99.95</v>
      </c>
      <c r="N44" s="25"/>
      <c r="O44" s="27"/>
    </row>
    <row r="45" spans="1:17" ht="17.25">
      <c r="A45" s="36" t="s">
        <v>16</v>
      </c>
      <c r="B45" s="38" t="s">
        <v>41</v>
      </c>
      <c r="C45" s="36"/>
      <c r="D45" s="23">
        <v>0</v>
      </c>
      <c r="E45" s="23">
        <v>57.32</v>
      </c>
      <c r="F45" s="23">
        <v>17.29</v>
      </c>
      <c r="G45" s="23">
        <v>10.1</v>
      </c>
      <c r="H45" s="23">
        <v>7.96</v>
      </c>
      <c r="I45" s="23">
        <v>5.7</v>
      </c>
      <c r="J45" s="24">
        <v>1.21</v>
      </c>
      <c r="K45" s="24">
        <v>0.39</v>
      </c>
      <c r="L45" s="24">
        <v>0.04</v>
      </c>
      <c r="M45" s="45">
        <v>100.00999999999999</v>
      </c>
      <c r="N45" s="25"/>
      <c r="O45" s="27"/>
    </row>
    <row r="46" spans="1:17" ht="17.25">
      <c r="A46" s="36" t="s">
        <v>17</v>
      </c>
      <c r="B46" s="38" t="s">
        <v>41</v>
      </c>
      <c r="C46" s="36"/>
      <c r="D46" s="23">
        <v>0.03</v>
      </c>
      <c r="E46" s="23">
        <v>19.66</v>
      </c>
      <c r="F46" s="23">
        <v>10.64</v>
      </c>
      <c r="G46" s="23">
        <v>10.72</v>
      </c>
      <c r="H46" s="23">
        <v>18.46</v>
      </c>
      <c r="I46" s="23">
        <v>30.25</v>
      </c>
      <c r="J46" s="24">
        <v>9.06</v>
      </c>
      <c r="K46" s="24">
        <v>1.1499999999999999</v>
      </c>
      <c r="L46" s="24">
        <v>0.03</v>
      </c>
      <c r="M46" s="45">
        <v>100.00000000000001</v>
      </c>
      <c r="N46" s="25"/>
      <c r="O46" s="27"/>
    </row>
    <row r="47" spans="1:17" ht="17.25">
      <c r="A47" s="36" t="s">
        <v>18</v>
      </c>
      <c r="B47" s="38" t="s">
        <v>41</v>
      </c>
      <c r="C47" s="36"/>
      <c r="D47" s="23">
        <v>0.16</v>
      </c>
      <c r="E47" s="23">
        <v>86.84</v>
      </c>
      <c r="F47" s="23">
        <v>7.2</v>
      </c>
      <c r="G47" s="23">
        <v>3.46</v>
      </c>
      <c r="H47" s="23">
        <v>1.64</v>
      </c>
      <c r="I47" s="23">
        <v>0.55000000000000004</v>
      </c>
      <c r="J47" s="24">
        <v>0.09</v>
      </c>
      <c r="K47" s="24">
        <v>0.06</v>
      </c>
      <c r="L47" s="24">
        <v>0.02</v>
      </c>
      <c r="M47" s="45">
        <v>100.02</v>
      </c>
      <c r="N47" s="25"/>
      <c r="O47" s="27"/>
    </row>
    <row r="48" spans="1:17" ht="17.25">
      <c r="A48" s="36" t="s">
        <v>19</v>
      </c>
      <c r="B48" s="38" t="s">
        <v>41</v>
      </c>
      <c r="C48" s="36"/>
      <c r="D48" s="23">
        <v>0.02</v>
      </c>
      <c r="E48" s="23">
        <v>73.77</v>
      </c>
      <c r="F48" s="23">
        <v>13.09</v>
      </c>
      <c r="G48" s="23">
        <v>6.24</v>
      </c>
      <c r="H48" s="23">
        <v>3.7</v>
      </c>
      <c r="I48" s="23">
        <v>2.21</v>
      </c>
      <c r="J48" s="24">
        <v>0.65</v>
      </c>
      <c r="K48" s="24">
        <v>0.27</v>
      </c>
      <c r="L48" s="24">
        <v>0.03</v>
      </c>
      <c r="M48" s="45">
        <v>99.97999999999999</v>
      </c>
      <c r="N48" s="25"/>
      <c r="O48" s="27"/>
    </row>
    <row r="49" spans="1:20" ht="17.25">
      <c r="A49" s="36" t="s">
        <v>20</v>
      </c>
      <c r="B49" s="38" t="s">
        <v>41</v>
      </c>
      <c r="C49" s="36"/>
      <c r="D49" s="23">
        <v>0.03</v>
      </c>
      <c r="E49" s="23">
        <v>86.46</v>
      </c>
      <c r="F49" s="23">
        <v>7.78</v>
      </c>
      <c r="G49" s="23">
        <v>2.93</v>
      </c>
      <c r="H49" s="23">
        <v>1.68</v>
      </c>
      <c r="I49" s="23">
        <v>0.9</v>
      </c>
      <c r="J49" s="24">
        <v>0.18</v>
      </c>
      <c r="K49" s="24">
        <v>0.03</v>
      </c>
      <c r="L49" s="23" t="s">
        <v>61</v>
      </c>
      <c r="M49" s="45">
        <v>99.990000000000023</v>
      </c>
      <c r="N49" s="25"/>
      <c r="O49" s="27"/>
    </row>
    <row r="50" spans="1:20" ht="17.25">
      <c r="A50" s="36" t="s">
        <v>21</v>
      </c>
      <c r="B50" s="38" t="s">
        <v>41</v>
      </c>
      <c r="C50" s="36"/>
      <c r="D50" s="23" t="s">
        <v>61</v>
      </c>
      <c r="E50" s="23">
        <v>80.62</v>
      </c>
      <c r="F50" s="23">
        <v>10.82</v>
      </c>
      <c r="G50" s="23">
        <v>4.05</v>
      </c>
      <c r="H50" s="23">
        <v>2.39</v>
      </c>
      <c r="I50" s="23">
        <v>1.45</v>
      </c>
      <c r="J50" s="24">
        <v>0.44</v>
      </c>
      <c r="K50" s="24">
        <v>0.21</v>
      </c>
      <c r="L50" s="24">
        <v>0.01</v>
      </c>
      <c r="M50" s="45">
        <v>99.99</v>
      </c>
      <c r="N50" s="25"/>
      <c r="O50" s="27"/>
      <c r="T50" s="27"/>
    </row>
    <row r="51" spans="1:20" ht="17.25">
      <c r="A51" s="36" t="s">
        <v>22</v>
      </c>
      <c r="B51" s="38" t="s">
        <v>41</v>
      </c>
      <c r="C51" s="36"/>
      <c r="D51" s="23">
        <v>0.04</v>
      </c>
      <c r="E51" s="23">
        <v>76.66</v>
      </c>
      <c r="F51" s="23">
        <v>12.73</v>
      </c>
      <c r="G51" s="23">
        <v>5.44</v>
      </c>
      <c r="H51" s="23">
        <v>2.99</v>
      </c>
      <c r="I51" s="23">
        <v>1.6</v>
      </c>
      <c r="J51" s="24">
        <v>0.36</v>
      </c>
      <c r="K51" s="24">
        <v>0.16</v>
      </c>
      <c r="L51" s="24">
        <v>0.03</v>
      </c>
      <c r="M51" s="45">
        <v>100.00999999999999</v>
      </c>
      <c r="N51" s="25"/>
      <c r="O51" s="27"/>
    </row>
    <row r="52" spans="1:20" ht="17.25">
      <c r="A52" s="36" t="s">
        <v>23</v>
      </c>
      <c r="B52" s="38" t="s">
        <v>41</v>
      </c>
      <c r="C52" s="36"/>
      <c r="D52" s="23" t="s">
        <v>61</v>
      </c>
      <c r="E52" s="23">
        <v>17.579999999999998</v>
      </c>
      <c r="F52" s="23">
        <v>12.17</v>
      </c>
      <c r="G52" s="23">
        <v>11.1</v>
      </c>
      <c r="H52" s="23">
        <v>21.66</v>
      </c>
      <c r="I52" s="23">
        <v>32.17</v>
      </c>
      <c r="J52" s="24">
        <v>4.93</v>
      </c>
      <c r="K52" s="24">
        <v>0.37</v>
      </c>
      <c r="L52" s="23" t="s">
        <v>61</v>
      </c>
      <c r="M52" s="45">
        <v>99.980000000000018</v>
      </c>
      <c r="N52" s="25"/>
      <c r="O52" s="27"/>
    </row>
    <row r="53" spans="1:20" ht="17.25">
      <c r="A53" s="36" t="s">
        <v>24</v>
      </c>
      <c r="B53" s="38" t="s">
        <v>41</v>
      </c>
      <c r="C53" s="36"/>
      <c r="D53" s="23">
        <v>0.23</v>
      </c>
      <c r="E53" s="23">
        <v>61.38</v>
      </c>
      <c r="F53" s="23">
        <v>18.54</v>
      </c>
      <c r="G53" s="23">
        <v>8.41</v>
      </c>
      <c r="H53" s="23">
        <v>5.19</v>
      </c>
      <c r="I53" s="23">
        <v>3.9</v>
      </c>
      <c r="J53" s="24">
        <v>1.44</v>
      </c>
      <c r="K53" s="24">
        <v>0.64</v>
      </c>
      <c r="L53" s="24">
        <v>0.28999999999999998</v>
      </c>
      <c r="M53" s="45">
        <v>100.02000000000001</v>
      </c>
      <c r="N53" s="25"/>
      <c r="O53" s="27"/>
      <c r="P53" s="28"/>
    </row>
    <row r="54" spans="1:20" ht="17.25">
      <c r="A54" s="36" t="s">
        <v>25</v>
      </c>
      <c r="B54" s="38" t="s">
        <v>41</v>
      </c>
      <c r="C54" s="36"/>
      <c r="D54" s="23" t="s">
        <v>61</v>
      </c>
      <c r="E54" s="23">
        <v>93.41</v>
      </c>
      <c r="F54" s="23">
        <v>4</v>
      </c>
      <c r="G54" s="23">
        <v>1.07</v>
      </c>
      <c r="H54" s="23">
        <v>0.7</v>
      </c>
      <c r="I54" s="23">
        <v>0.72</v>
      </c>
      <c r="J54" s="24">
        <v>0.1</v>
      </c>
      <c r="K54" s="23" t="s">
        <v>61</v>
      </c>
      <c r="L54" s="23" t="s">
        <v>61</v>
      </c>
      <c r="M54" s="45">
        <v>99.999999999999986</v>
      </c>
      <c r="N54" s="25"/>
      <c r="O54" s="27"/>
      <c r="P54" s="28"/>
    </row>
    <row r="55" spans="1:20" ht="17.25">
      <c r="A55" s="36" t="s">
        <v>26</v>
      </c>
      <c r="B55" s="38" t="s">
        <v>41</v>
      </c>
      <c r="C55" s="36"/>
      <c r="D55" s="23" t="s">
        <v>61</v>
      </c>
      <c r="E55" s="23">
        <v>20.09</v>
      </c>
      <c r="F55" s="23">
        <v>15.11</v>
      </c>
      <c r="G55" s="23">
        <v>13.16</v>
      </c>
      <c r="H55" s="23">
        <v>20.8</v>
      </c>
      <c r="I55" s="23">
        <v>25.48</v>
      </c>
      <c r="J55" s="24">
        <v>4.3</v>
      </c>
      <c r="K55" s="24">
        <v>1.04</v>
      </c>
      <c r="L55" s="24">
        <v>0.03</v>
      </c>
      <c r="M55" s="45">
        <v>100.01</v>
      </c>
      <c r="N55" s="25"/>
      <c r="O55" s="27"/>
      <c r="P55" s="28"/>
    </row>
    <row r="56" spans="1:20" ht="17.25">
      <c r="A56" s="36" t="s">
        <v>27</v>
      </c>
      <c r="B56" s="38" t="s">
        <v>41</v>
      </c>
      <c r="C56" s="36"/>
      <c r="D56" s="23" t="s">
        <v>61</v>
      </c>
      <c r="E56" s="23">
        <v>32.92</v>
      </c>
      <c r="F56" s="23">
        <v>26.16</v>
      </c>
      <c r="G56" s="23">
        <v>21.07</v>
      </c>
      <c r="H56" s="23">
        <v>13.86</v>
      </c>
      <c r="I56" s="23">
        <v>5.55</v>
      </c>
      <c r="J56" s="24">
        <v>0.37</v>
      </c>
      <c r="K56" s="24">
        <v>0.08</v>
      </c>
      <c r="L56" s="24">
        <v>0</v>
      </c>
      <c r="M56" s="45">
        <v>100.01</v>
      </c>
      <c r="N56" s="25"/>
      <c r="O56" s="27"/>
      <c r="P56" s="28"/>
    </row>
    <row r="57" spans="1:20" ht="17.25">
      <c r="A57" s="36" t="s">
        <v>28</v>
      </c>
      <c r="B57" s="38" t="s">
        <v>41</v>
      </c>
      <c r="C57" s="36"/>
      <c r="D57" s="23">
        <v>0</v>
      </c>
      <c r="E57" s="23">
        <v>69.89</v>
      </c>
      <c r="F57" s="23">
        <v>21.07</v>
      </c>
      <c r="G57" s="23">
        <v>6.01</v>
      </c>
      <c r="H57" s="23">
        <v>1.98</v>
      </c>
      <c r="I57" s="23">
        <v>0.76</v>
      </c>
      <c r="J57" s="24">
        <v>0.18</v>
      </c>
      <c r="K57" s="24">
        <v>0.09</v>
      </c>
      <c r="L57" s="24">
        <v>0.01</v>
      </c>
      <c r="M57" s="45">
        <v>99.990000000000038</v>
      </c>
      <c r="N57" s="25"/>
      <c r="O57" s="27"/>
    </row>
    <row r="58" spans="1:20" ht="17.25">
      <c r="A58" s="36" t="s">
        <v>29</v>
      </c>
      <c r="B58" s="38" t="s">
        <v>41</v>
      </c>
      <c r="C58" s="36"/>
      <c r="D58" s="23">
        <v>0.02</v>
      </c>
      <c r="E58" s="23">
        <v>74.2</v>
      </c>
      <c r="F58" s="23">
        <v>11.61</v>
      </c>
      <c r="G58" s="23">
        <v>6.13</v>
      </c>
      <c r="H58" s="23">
        <v>4.0999999999999996</v>
      </c>
      <c r="I58" s="23">
        <v>2.5499999999999998</v>
      </c>
      <c r="J58" s="24">
        <v>0.9</v>
      </c>
      <c r="K58" s="24">
        <v>0.47</v>
      </c>
      <c r="L58" s="24">
        <v>0.03</v>
      </c>
      <c r="M58" s="45">
        <v>100.00999999999999</v>
      </c>
      <c r="N58" s="25"/>
      <c r="O58" s="27"/>
      <c r="P58" s="28"/>
    </row>
    <row r="59" spans="1:20" ht="17.25">
      <c r="A59" s="36" t="s">
        <v>30</v>
      </c>
      <c r="B59" s="38" t="s">
        <v>41</v>
      </c>
      <c r="C59" s="36"/>
      <c r="D59" s="23">
        <v>0</v>
      </c>
      <c r="E59" s="23">
        <v>93.72</v>
      </c>
      <c r="F59" s="23">
        <v>3.38</v>
      </c>
      <c r="G59" s="23">
        <v>1.28</v>
      </c>
      <c r="H59" s="23">
        <v>0.7</v>
      </c>
      <c r="I59" s="23">
        <v>0.55000000000000004</v>
      </c>
      <c r="J59" s="24">
        <v>0.22</v>
      </c>
      <c r="K59" s="24">
        <v>0.14000000000000001</v>
      </c>
      <c r="L59" s="24">
        <v>0.02</v>
      </c>
      <c r="M59" s="45">
        <v>100.00999999999999</v>
      </c>
      <c r="N59" s="25"/>
      <c r="O59" s="27"/>
      <c r="P59" s="28"/>
    </row>
    <row r="60" spans="1:20" ht="17.25">
      <c r="A60" s="36" t="s">
        <v>31</v>
      </c>
      <c r="B60" s="38" t="s">
        <v>41</v>
      </c>
      <c r="C60" s="36"/>
      <c r="D60" s="23" t="s">
        <v>61</v>
      </c>
      <c r="E60" s="23">
        <v>68.41</v>
      </c>
      <c r="F60" s="23">
        <v>21.54</v>
      </c>
      <c r="G60" s="23">
        <v>7.1</v>
      </c>
      <c r="H60" s="23">
        <v>2.4700000000000002</v>
      </c>
      <c r="I60" s="23">
        <v>0.67</v>
      </c>
      <c r="J60" s="24">
        <v>0.05</v>
      </c>
      <c r="K60" s="24">
        <v>0.01</v>
      </c>
      <c r="L60" s="24">
        <v>0.02</v>
      </c>
      <c r="M60" s="45">
        <v>100.26999999999998</v>
      </c>
      <c r="N60" s="25"/>
      <c r="O60" s="27"/>
      <c r="P60" s="28"/>
    </row>
    <row r="61" spans="1:20" ht="17.25">
      <c r="A61" s="36" t="s">
        <v>32</v>
      </c>
      <c r="B61" s="38" t="s">
        <v>41</v>
      </c>
      <c r="C61" s="36"/>
      <c r="D61" s="23" t="s">
        <v>61</v>
      </c>
      <c r="E61" s="23">
        <v>59.65</v>
      </c>
      <c r="F61" s="23">
        <v>16.2</v>
      </c>
      <c r="G61" s="23">
        <v>6.23</v>
      </c>
      <c r="H61" s="23">
        <v>4.5599999999999996</v>
      </c>
      <c r="I61" s="23">
        <v>4.8099999999999996</v>
      </c>
      <c r="J61" s="24">
        <v>2.5499999999999998</v>
      </c>
      <c r="K61" s="24">
        <v>3.7</v>
      </c>
      <c r="L61" s="24">
        <v>2.2999999999999998</v>
      </c>
      <c r="M61" s="45">
        <v>100</v>
      </c>
      <c r="N61" s="25"/>
      <c r="O61" s="27"/>
      <c r="P61" s="28"/>
    </row>
    <row r="62" spans="1:20" ht="17.25">
      <c r="A62" s="36" t="s">
        <v>33</v>
      </c>
      <c r="B62" s="38" t="s">
        <v>41</v>
      </c>
      <c r="C62" s="36"/>
      <c r="D62" s="23" t="s">
        <v>61</v>
      </c>
      <c r="E62" s="23">
        <v>20.8</v>
      </c>
      <c r="F62" s="23">
        <v>25.38</v>
      </c>
      <c r="G62" s="23">
        <v>22.89</v>
      </c>
      <c r="H62" s="23">
        <v>18.82</v>
      </c>
      <c r="I62" s="23">
        <v>10.3</v>
      </c>
      <c r="J62" s="24">
        <v>1.19</v>
      </c>
      <c r="K62" s="24">
        <v>0.18</v>
      </c>
      <c r="L62" s="24" t="s">
        <v>61</v>
      </c>
      <c r="M62" s="45">
        <v>99.559999999999988</v>
      </c>
      <c r="N62" s="25"/>
      <c r="O62" s="27"/>
    </row>
    <row r="63" spans="1:20" ht="17.25">
      <c r="A63" s="36" t="s">
        <v>34</v>
      </c>
      <c r="B63" s="38" t="s">
        <v>41</v>
      </c>
      <c r="C63" s="36"/>
      <c r="D63" s="23">
        <v>0</v>
      </c>
      <c r="E63" s="23">
        <v>36.61</v>
      </c>
      <c r="F63" s="23">
        <v>22.14</v>
      </c>
      <c r="G63" s="23">
        <v>13.64</v>
      </c>
      <c r="H63" s="23">
        <v>11.66</v>
      </c>
      <c r="I63" s="23">
        <v>11.31</v>
      </c>
      <c r="J63" s="24">
        <v>3.47</v>
      </c>
      <c r="K63" s="24">
        <v>0.96</v>
      </c>
      <c r="L63" s="24">
        <v>0.03</v>
      </c>
      <c r="M63" s="45">
        <v>99.82</v>
      </c>
      <c r="N63" s="25"/>
      <c r="O63" s="27"/>
    </row>
    <row r="64" spans="1:20" ht="17.25">
      <c r="A64" s="36" t="s">
        <v>35</v>
      </c>
      <c r="B64" s="38" t="s">
        <v>41</v>
      </c>
      <c r="C64" s="36"/>
      <c r="D64" s="23">
        <v>0.03</v>
      </c>
      <c r="E64" s="23">
        <v>24.11</v>
      </c>
      <c r="F64" s="23">
        <v>17.059999999999999</v>
      </c>
      <c r="G64" s="23">
        <v>15.05</v>
      </c>
      <c r="H64" s="23">
        <v>16.77</v>
      </c>
      <c r="I64" s="23">
        <v>18.13</v>
      </c>
      <c r="J64" s="24">
        <v>6.31</v>
      </c>
      <c r="K64" s="24">
        <v>2.36</v>
      </c>
      <c r="L64" s="24">
        <v>0.13</v>
      </c>
      <c r="M64" s="45">
        <v>99.949999999999989</v>
      </c>
      <c r="N64" s="25"/>
      <c r="O64" s="27"/>
    </row>
    <row r="65" spans="1:15" ht="17.25">
      <c r="A65" s="37" t="s">
        <v>6</v>
      </c>
      <c r="B65" s="38" t="s">
        <v>41</v>
      </c>
      <c r="C65" s="37"/>
      <c r="D65" s="29">
        <v>0.02</v>
      </c>
      <c r="E65" s="29">
        <v>63.56</v>
      </c>
      <c r="F65" s="29">
        <v>15.25</v>
      </c>
      <c r="G65" s="29">
        <v>8.18</v>
      </c>
      <c r="H65" s="29">
        <v>6.09</v>
      </c>
      <c r="I65" s="29">
        <v>5.09</v>
      </c>
      <c r="J65" s="30">
        <v>1.33</v>
      </c>
      <c r="K65" s="30">
        <v>0.42</v>
      </c>
      <c r="L65" s="30">
        <v>0.06</v>
      </c>
      <c r="M65" s="46">
        <v>100.00000000000003</v>
      </c>
      <c r="N65" s="27"/>
      <c r="O65" s="27"/>
    </row>
    <row r="66" spans="1:15" ht="17.25">
      <c r="A66" s="32" t="s">
        <v>68</v>
      </c>
      <c r="B66" s="32"/>
      <c r="C66" s="32"/>
      <c r="D66" s="17"/>
      <c r="E66" s="17"/>
      <c r="F66" s="17"/>
      <c r="G66" s="17"/>
      <c r="H66" s="17"/>
      <c r="I66" s="17"/>
      <c r="J66" s="17"/>
      <c r="K66" s="17"/>
      <c r="L66" s="17"/>
      <c r="M66" s="34"/>
    </row>
    <row r="67" spans="1:15" ht="17.25">
      <c r="A67" s="32" t="s">
        <v>7</v>
      </c>
      <c r="B67" s="32"/>
      <c r="C67" s="32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5" s="17" customFormat="1">
      <c r="A68" s="33" t="s">
        <v>0</v>
      </c>
      <c r="B68" s="33"/>
      <c r="C68" s="33"/>
    </row>
  </sheetData>
  <pageMargins left="1.5748031496062993" right="1.6535433070866143" top="0.59055118110236227" bottom="2.2834645669291338" header="0.51181102362204722" footer="0.51181102362204722"/>
  <pageSetup paperSize="9" scale="97" orientation="portrait" r:id="rId1"/>
  <headerFooter alignWithMargins="0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8"/>
  <sheetViews>
    <sheetView zoomScaleNormal="100" workbookViewId="0"/>
  </sheetViews>
  <sheetFormatPr baseColWidth="10" defaultColWidth="9.140625" defaultRowHeight="16.5"/>
  <cols>
    <col min="1" max="1" width="16.85546875" style="4" customWidth="1"/>
    <col min="2" max="2" width="12.140625" style="4" customWidth="1"/>
    <col min="3" max="3" width="8.7109375" style="4" customWidth="1"/>
    <col min="4" max="4" width="21.140625" style="18" customWidth="1"/>
    <col min="5" max="13" width="21.140625" style="4" customWidth="1"/>
    <col min="14" max="16384" width="9.140625" style="4"/>
  </cols>
  <sheetData>
    <row r="1" spans="1:16" ht="17.25">
      <c r="A1" s="35" t="s">
        <v>60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ht="17.25">
      <c r="A2" s="20" t="s">
        <v>55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16"/>
    </row>
    <row r="3" spans="1:16">
      <c r="A3" s="20" t="s">
        <v>4</v>
      </c>
      <c r="B3" s="20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6">
      <c r="A4" s="20" t="s">
        <v>53</v>
      </c>
      <c r="B4" s="20"/>
      <c r="C4" s="20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6" ht="39.75" customHeight="1">
      <c r="A5" s="44" t="s">
        <v>5</v>
      </c>
      <c r="B5" s="47" t="s">
        <v>39</v>
      </c>
      <c r="C5" s="47" t="s">
        <v>40</v>
      </c>
      <c r="D5" s="41" t="s">
        <v>36</v>
      </c>
      <c r="E5" s="42" t="s">
        <v>44</v>
      </c>
      <c r="F5" s="42" t="s">
        <v>49</v>
      </c>
      <c r="G5" s="42" t="s">
        <v>50</v>
      </c>
      <c r="H5" s="42" t="s">
        <v>51</v>
      </c>
      <c r="I5" s="42" t="s">
        <v>48</v>
      </c>
      <c r="J5" s="42" t="s">
        <v>47</v>
      </c>
      <c r="K5" s="42" t="s">
        <v>46</v>
      </c>
      <c r="L5" s="42" t="s">
        <v>45</v>
      </c>
      <c r="M5" s="43" t="s">
        <v>37</v>
      </c>
    </row>
    <row r="6" spans="1:16" ht="17.25">
      <c r="A6" s="36" t="s">
        <v>8</v>
      </c>
      <c r="B6" s="38" t="s">
        <v>43</v>
      </c>
      <c r="C6" s="36"/>
      <c r="D6" s="5">
        <v>0.01</v>
      </c>
      <c r="E6" s="6">
        <v>6.48</v>
      </c>
      <c r="F6" s="6">
        <v>5.23</v>
      </c>
      <c r="G6" s="6">
        <v>5.99</v>
      </c>
      <c r="H6" s="6">
        <v>7.89</v>
      </c>
      <c r="I6" s="6">
        <v>7.9</v>
      </c>
      <c r="J6" s="7">
        <v>1.51</v>
      </c>
      <c r="K6" s="7">
        <v>0.21</v>
      </c>
      <c r="L6" s="8" t="s">
        <v>62</v>
      </c>
      <c r="M6" s="6">
        <v>35.22</v>
      </c>
      <c r="N6" s="9"/>
      <c r="O6" s="1"/>
      <c r="P6" s="6"/>
    </row>
    <row r="7" spans="1:16" ht="17.25">
      <c r="A7" s="36" t="s">
        <v>9</v>
      </c>
      <c r="B7" s="38" t="s">
        <v>43</v>
      </c>
      <c r="C7" s="36"/>
      <c r="D7" s="5" t="s">
        <v>62</v>
      </c>
      <c r="E7" s="6">
        <v>68.099999999999994</v>
      </c>
      <c r="F7" s="6">
        <v>9.33</v>
      </c>
      <c r="G7" s="6">
        <v>5.49</v>
      </c>
      <c r="H7" s="6">
        <v>2.99</v>
      </c>
      <c r="I7" s="6">
        <v>2.0699999999999998</v>
      </c>
      <c r="J7" s="7">
        <v>1.19</v>
      </c>
      <c r="K7" s="7">
        <v>1.1299999999999999</v>
      </c>
      <c r="L7" s="8">
        <v>0.19</v>
      </c>
      <c r="M7" s="6">
        <v>90.49</v>
      </c>
      <c r="N7" s="9"/>
      <c r="O7" s="1"/>
    </row>
    <row r="8" spans="1:16" ht="17.25">
      <c r="A8" s="36" t="s">
        <v>10</v>
      </c>
      <c r="B8" s="38" t="s">
        <v>43</v>
      </c>
      <c r="C8" s="36"/>
      <c r="D8" s="10" t="s">
        <v>62</v>
      </c>
      <c r="E8" s="6">
        <v>10.82</v>
      </c>
      <c r="F8" s="6">
        <v>5.87</v>
      </c>
      <c r="G8" s="6">
        <v>3.67</v>
      </c>
      <c r="H8" s="6">
        <v>2.77</v>
      </c>
      <c r="I8" s="6">
        <v>2.29</v>
      </c>
      <c r="J8" s="7">
        <v>0.97</v>
      </c>
      <c r="K8" s="7">
        <v>1.31</v>
      </c>
      <c r="L8" s="8">
        <v>0.76</v>
      </c>
      <c r="M8" s="6">
        <v>28.46</v>
      </c>
      <c r="N8" s="9"/>
      <c r="O8" s="1"/>
    </row>
    <row r="9" spans="1:16" ht="17.25">
      <c r="A9" s="36" t="s">
        <v>11</v>
      </c>
      <c r="B9" s="38" t="s">
        <v>43</v>
      </c>
      <c r="C9" s="36"/>
      <c r="D9" s="5">
        <v>0.05</v>
      </c>
      <c r="E9" s="6">
        <v>9.69</v>
      </c>
      <c r="F9" s="6">
        <v>9.9</v>
      </c>
      <c r="G9" s="6">
        <v>7.05</v>
      </c>
      <c r="H9" s="6">
        <v>5.65</v>
      </c>
      <c r="I9" s="6">
        <v>6.35</v>
      </c>
      <c r="J9" s="7">
        <v>3.9</v>
      </c>
      <c r="K9" s="7">
        <v>1.61</v>
      </c>
      <c r="L9" s="8">
        <v>6.9999999999999993E-2</v>
      </c>
      <c r="M9" s="6">
        <v>44.27</v>
      </c>
      <c r="N9" s="9"/>
      <c r="O9" s="1"/>
    </row>
    <row r="10" spans="1:16" ht="17.25">
      <c r="A10" s="37" t="s">
        <v>12</v>
      </c>
      <c r="B10" s="38" t="s">
        <v>43</v>
      </c>
      <c r="C10" s="37"/>
      <c r="D10" s="11">
        <v>0.03</v>
      </c>
      <c r="E10" s="12">
        <v>74.099999999999994</v>
      </c>
      <c r="F10" s="12">
        <v>60.3</v>
      </c>
      <c r="G10" s="12">
        <v>61.92</v>
      </c>
      <c r="H10" s="12">
        <v>59.97</v>
      </c>
      <c r="I10" s="12">
        <v>48.75</v>
      </c>
      <c r="J10" s="13">
        <v>9.4499999999999993</v>
      </c>
      <c r="K10" s="13">
        <v>4.38</v>
      </c>
      <c r="L10" s="14">
        <v>1.39</v>
      </c>
      <c r="M10" s="39">
        <v>320.29000000000002</v>
      </c>
      <c r="N10" s="9"/>
      <c r="O10" s="2"/>
    </row>
    <row r="11" spans="1:16" ht="17.25">
      <c r="A11" s="36" t="s">
        <v>13</v>
      </c>
      <c r="B11" s="38" t="s">
        <v>43</v>
      </c>
      <c r="C11" s="36"/>
      <c r="D11" s="19" t="s">
        <v>62</v>
      </c>
      <c r="E11" s="15">
        <v>11.5</v>
      </c>
      <c r="F11" s="15">
        <v>2.59</v>
      </c>
      <c r="G11" s="15">
        <v>1.1200000000000001</v>
      </c>
      <c r="H11" s="15">
        <v>0.82</v>
      </c>
      <c r="I11" s="15">
        <v>0.65</v>
      </c>
      <c r="J11" s="7">
        <v>0.25</v>
      </c>
      <c r="K11" s="7">
        <v>0.15</v>
      </c>
      <c r="L11" s="8">
        <v>0.01</v>
      </c>
      <c r="M11" s="6">
        <v>17.09</v>
      </c>
      <c r="N11" s="9"/>
      <c r="O11" s="1"/>
    </row>
    <row r="12" spans="1:16" ht="17.25">
      <c r="A12" s="36" t="s">
        <v>14</v>
      </c>
      <c r="B12" s="38" t="s">
        <v>43</v>
      </c>
      <c r="C12" s="36"/>
      <c r="D12" s="7">
        <v>0.02</v>
      </c>
      <c r="E12" s="15">
        <v>22.97</v>
      </c>
      <c r="F12" s="15">
        <v>29.78</v>
      </c>
      <c r="G12" s="15">
        <v>31.71</v>
      </c>
      <c r="H12" s="15">
        <v>25.08</v>
      </c>
      <c r="I12" s="15">
        <v>13.07</v>
      </c>
      <c r="J12" s="7">
        <v>1.72</v>
      </c>
      <c r="K12" s="7">
        <v>0.22</v>
      </c>
      <c r="L12" s="8" t="s">
        <v>62</v>
      </c>
      <c r="M12" s="6">
        <v>124.57</v>
      </c>
      <c r="N12" s="9"/>
      <c r="O12" s="1"/>
    </row>
    <row r="13" spans="1:16" ht="17.25">
      <c r="A13" s="36" t="s">
        <v>15</v>
      </c>
      <c r="B13" s="38" t="s">
        <v>43</v>
      </c>
      <c r="C13" s="36"/>
      <c r="D13" s="7">
        <v>0.03</v>
      </c>
      <c r="E13" s="15">
        <v>428.9</v>
      </c>
      <c r="F13" s="15">
        <v>149.44</v>
      </c>
      <c r="G13" s="15">
        <v>85.09</v>
      </c>
      <c r="H13" s="15">
        <v>33.94</v>
      </c>
      <c r="I13" s="15">
        <v>10.93</v>
      </c>
      <c r="J13" s="7">
        <v>0.89</v>
      </c>
      <c r="K13" s="7">
        <v>0.05</v>
      </c>
      <c r="L13" s="8" t="s">
        <v>62</v>
      </c>
      <c r="M13" s="6">
        <v>709.27</v>
      </c>
      <c r="N13" s="9"/>
      <c r="O13" s="3"/>
    </row>
    <row r="14" spans="1:16" ht="17.25">
      <c r="A14" s="36" t="s">
        <v>16</v>
      </c>
      <c r="B14" s="38" t="s">
        <v>43</v>
      </c>
      <c r="C14" s="36"/>
      <c r="D14" s="7">
        <v>0.06</v>
      </c>
      <c r="E14" s="15">
        <v>483.68</v>
      </c>
      <c r="F14" s="15">
        <v>158.33000000000001</v>
      </c>
      <c r="G14" s="15">
        <v>98.67</v>
      </c>
      <c r="H14" s="15">
        <v>70.989999999999995</v>
      </c>
      <c r="I14" s="15">
        <v>46.28</v>
      </c>
      <c r="J14" s="7">
        <v>8.86</v>
      </c>
      <c r="K14" s="7">
        <v>2.84</v>
      </c>
      <c r="L14" s="8">
        <v>0.27</v>
      </c>
      <c r="M14" s="6">
        <v>869.98</v>
      </c>
      <c r="N14" s="9"/>
      <c r="O14" s="3"/>
    </row>
    <row r="15" spans="1:16" ht="17.25">
      <c r="A15" s="36" t="s">
        <v>17</v>
      </c>
      <c r="B15" s="38" t="s">
        <v>43</v>
      </c>
      <c r="C15" s="36"/>
      <c r="D15" s="7">
        <v>0.09</v>
      </c>
      <c r="E15" s="15">
        <v>65.48</v>
      </c>
      <c r="F15" s="15">
        <v>38.630000000000003</v>
      </c>
      <c r="G15" s="15">
        <v>40.03</v>
      </c>
      <c r="H15" s="15">
        <v>68.13</v>
      </c>
      <c r="I15" s="15">
        <v>108.61</v>
      </c>
      <c r="J15" s="7">
        <v>32.880000000000003</v>
      </c>
      <c r="K15" s="7">
        <v>4.26</v>
      </c>
      <c r="L15" s="8">
        <v>0.12</v>
      </c>
      <c r="M15" s="6">
        <v>358.23</v>
      </c>
      <c r="N15" s="9"/>
      <c r="O15" s="3"/>
    </row>
    <row r="16" spans="1:16" ht="17.25">
      <c r="A16" s="36" t="s">
        <v>18</v>
      </c>
      <c r="B16" s="38" t="s">
        <v>43</v>
      </c>
      <c r="C16" s="36"/>
      <c r="D16" s="7">
        <v>0.89</v>
      </c>
      <c r="E16" s="15">
        <v>83.34</v>
      </c>
      <c r="F16" s="15">
        <v>5.52</v>
      </c>
      <c r="G16" s="15">
        <v>1.97</v>
      </c>
      <c r="H16" s="15">
        <v>0.65</v>
      </c>
      <c r="I16" s="15">
        <v>0.18</v>
      </c>
      <c r="J16" s="7">
        <v>0.05</v>
      </c>
      <c r="K16" s="7">
        <v>0.02</v>
      </c>
      <c r="L16" s="8">
        <v>0.02</v>
      </c>
      <c r="M16" s="6">
        <v>92.64</v>
      </c>
      <c r="N16" s="9"/>
      <c r="O16" s="3"/>
    </row>
    <row r="17" spans="1:15" ht="17.25">
      <c r="A17" s="36" t="s">
        <v>19</v>
      </c>
      <c r="B17" s="38" t="s">
        <v>43</v>
      </c>
      <c r="C17" s="36"/>
      <c r="D17" s="7">
        <v>0.3</v>
      </c>
      <c r="E17" s="15">
        <v>848.25</v>
      </c>
      <c r="F17" s="15">
        <v>159.72999999999999</v>
      </c>
      <c r="G17" s="15">
        <v>79.05</v>
      </c>
      <c r="H17" s="15">
        <v>42.66</v>
      </c>
      <c r="I17" s="15">
        <v>23.99</v>
      </c>
      <c r="J17" s="7">
        <v>6.74</v>
      </c>
      <c r="K17" s="7">
        <v>2.71</v>
      </c>
      <c r="L17" s="8">
        <v>0.26</v>
      </c>
      <c r="M17" s="6">
        <v>1163.69</v>
      </c>
      <c r="N17" s="9"/>
      <c r="O17" s="1"/>
    </row>
    <row r="18" spans="1:15" ht="17.25">
      <c r="A18" s="36" t="s">
        <v>20</v>
      </c>
      <c r="B18" s="38" t="s">
        <v>43</v>
      </c>
      <c r="C18" s="36"/>
      <c r="D18" s="7">
        <v>0.04</v>
      </c>
      <c r="E18" s="15">
        <v>28.68</v>
      </c>
      <c r="F18" s="15">
        <v>2.65</v>
      </c>
      <c r="G18" s="15">
        <v>0.97</v>
      </c>
      <c r="H18" s="15">
        <v>0.52</v>
      </c>
      <c r="I18" s="15">
        <v>0.3</v>
      </c>
      <c r="J18" s="7">
        <v>0.05</v>
      </c>
      <c r="K18" s="7">
        <v>0.01</v>
      </c>
      <c r="L18" s="48" t="s">
        <v>62</v>
      </c>
      <c r="M18" s="6">
        <v>33.22</v>
      </c>
      <c r="N18" s="9"/>
      <c r="O18" s="1"/>
    </row>
    <row r="19" spans="1:15" ht="17.25">
      <c r="A19" s="36" t="s">
        <v>21</v>
      </c>
      <c r="B19" s="38" t="s">
        <v>43</v>
      </c>
      <c r="C19" s="36"/>
      <c r="D19" s="19" t="s">
        <v>62</v>
      </c>
      <c r="E19" s="15">
        <v>50.7</v>
      </c>
      <c r="F19" s="15">
        <v>6.19</v>
      </c>
      <c r="G19" s="15">
        <v>2.2799999999999998</v>
      </c>
      <c r="H19" s="15">
        <v>1.26</v>
      </c>
      <c r="I19" s="15">
        <v>0.75</v>
      </c>
      <c r="J19" s="7">
        <v>0.23</v>
      </c>
      <c r="K19" s="7">
        <v>0.11</v>
      </c>
      <c r="L19" s="8">
        <v>0.01</v>
      </c>
      <c r="M19" s="6">
        <v>61.53</v>
      </c>
      <c r="N19" s="9"/>
      <c r="O19" s="1"/>
    </row>
    <row r="20" spans="1:15" ht="17.25">
      <c r="A20" s="36" t="s">
        <v>22</v>
      </c>
      <c r="B20" s="38" t="s">
        <v>43</v>
      </c>
      <c r="C20" s="36"/>
      <c r="D20" s="7">
        <v>0.1</v>
      </c>
      <c r="E20" s="15">
        <v>119.45</v>
      </c>
      <c r="F20" s="15">
        <v>15.78</v>
      </c>
      <c r="G20" s="15">
        <v>6.56</v>
      </c>
      <c r="H20" s="15">
        <v>3.74</v>
      </c>
      <c r="I20" s="15">
        <v>2.06</v>
      </c>
      <c r="J20" s="7">
        <v>0.55000000000000004</v>
      </c>
      <c r="K20" s="7">
        <v>0.22</v>
      </c>
      <c r="L20" s="8">
        <v>0.04</v>
      </c>
      <c r="M20" s="6">
        <v>148.5</v>
      </c>
      <c r="N20" s="9"/>
      <c r="O20" s="1"/>
    </row>
    <row r="21" spans="1:15" ht="17.25">
      <c r="A21" s="36" t="s">
        <v>23</v>
      </c>
      <c r="B21" s="38" t="s">
        <v>43</v>
      </c>
      <c r="C21" s="36"/>
      <c r="D21" s="19" t="s">
        <v>62</v>
      </c>
      <c r="E21" s="15">
        <v>0.35</v>
      </c>
      <c r="F21" s="15">
        <v>0.23</v>
      </c>
      <c r="G21" s="15">
        <v>0.22</v>
      </c>
      <c r="H21" s="15">
        <v>0.44</v>
      </c>
      <c r="I21" s="15">
        <v>0.59</v>
      </c>
      <c r="J21" s="7">
        <v>0.09</v>
      </c>
      <c r="K21" s="7" t="s">
        <v>62</v>
      </c>
      <c r="L21" s="19" t="s">
        <v>62</v>
      </c>
      <c r="M21" s="6">
        <v>1.92</v>
      </c>
      <c r="N21" s="9"/>
      <c r="O21" s="1"/>
    </row>
    <row r="22" spans="1:15" ht="17.25">
      <c r="A22" s="36" t="s">
        <v>24</v>
      </c>
      <c r="B22" s="38" t="s">
        <v>43</v>
      </c>
      <c r="C22" s="36"/>
      <c r="D22" s="7">
        <v>0.08</v>
      </c>
      <c r="E22" s="15">
        <v>106.21</v>
      </c>
      <c r="F22" s="15">
        <v>33.79</v>
      </c>
      <c r="G22" s="15">
        <v>14.93</v>
      </c>
      <c r="H22" s="15">
        <v>9.1199999999999992</v>
      </c>
      <c r="I22" s="15">
        <v>6.68</v>
      </c>
      <c r="J22" s="7">
        <v>2.4500000000000002</v>
      </c>
      <c r="K22" s="7">
        <v>1.1100000000000001</v>
      </c>
      <c r="L22" s="8">
        <v>0.5</v>
      </c>
      <c r="M22" s="6">
        <v>174.87</v>
      </c>
      <c r="N22" s="9"/>
      <c r="O22" s="1"/>
    </row>
    <row r="23" spans="1:15" ht="17.25">
      <c r="A23" s="36" t="s">
        <v>25</v>
      </c>
      <c r="B23" s="38" t="s">
        <v>43</v>
      </c>
      <c r="C23" s="36"/>
      <c r="D23" s="19" t="s">
        <v>62</v>
      </c>
      <c r="E23" s="15">
        <v>5.66</v>
      </c>
      <c r="F23" s="15">
        <v>0.25</v>
      </c>
      <c r="G23" s="15">
        <v>7.0000000000000007E-2</v>
      </c>
      <c r="H23" s="15">
        <v>0.04</v>
      </c>
      <c r="I23" s="15">
        <v>0.04</v>
      </c>
      <c r="J23" s="7">
        <v>0.01</v>
      </c>
      <c r="K23" s="7" t="s">
        <v>62</v>
      </c>
      <c r="L23" s="19" t="s">
        <v>62</v>
      </c>
      <c r="M23" s="6">
        <v>6.07</v>
      </c>
      <c r="N23" s="9"/>
      <c r="O23" s="1"/>
    </row>
    <row r="24" spans="1:15" ht="17.25">
      <c r="A24" s="36" t="s">
        <v>26</v>
      </c>
      <c r="B24" s="38" t="s">
        <v>43</v>
      </c>
      <c r="C24" s="36"/>
      <c r="D24" s="19" t="s">
        <v>62</v>
      </c>
      <c r="E24" s="15">
        <v>10.37</v>
      </c>
      <c r="F24" s="15">
        <v>7.74</v>
      </c>
      <c r="G24" s="15">
        <v>6.9</v>
      </c>
      <c r="H24" s="15">
        <v>10.37</v>
      </c>
      <c r="I24" s="15">
        <v>12.12</v>
      </c>
      <c r="J24" s="7">
        <v>1.89</v>
      </c>
      <c r="K24" s="7">
        <v>0.48</v>
      </c>
      <c r="L24" s="8">
        <v>0.01</v>
      </c>
      <c r="M24" s="6">
        <v>49.88</v>
      </c>
      <c r="N24" s="9"/>
      <c r="O24" s="1"/>
    </row>
    <row r="25" spans="1:15" ht="17.25">
      <c r="A25" s="36" t="s">
        <v>27</v>
      </c>
      <c r="B25" s="38" t="s">
        <v>43</v>
      </c>
      <c r="C25" s="36"/>
      <c r="D25" s="7" t="s">
        <v>62</v>
      </c>
      <c r="E25" s="15">
        <v>37.049999999999997</v>
      </c>
      <c r="F25" s="15">
        <v>27.88</v>
      </c>
      <c r="G25" s="15">
        <v>24.31</v>
      </c>
      <c r="H25" s="15">
        <v>15.07</v>
      </c>
      <c r="I25" s="15">
        <v>5.53</v>
      </c>
      <c r="J25" s="7">
        <v>0.33</v>
      </c>
      <c r="K25" s="7">
        <v>0.08</v>
      </c>
      <c r="L25" s="8" t="s">
        <v>62</v>
      </c>
      <c r="M25" s="6">
        <v>110.25</v>
      </c>
      <c r="N25" s="9"/>
      <c r="O25" s="1"/>
    </row>
    <row r="26" spans="1:15" ht="17.25">
      <c r="A26" s="36" t="s">
        <v>28</v>
      </c>
      <c r="B26" s="38" t="s">
        <v>43</v>
      </c>
      <c r="C26" s="36"/>
      <c r="D26" s="7">
        <v>0.12</v>
      </c>
      <c r="E26" s="15">
        <v>985.56</v>
      </c>
      <c r="F26" s="15">
        <v>265.01</v>
      </c>
      <c r="G26" s="15">
        <v>67.98</v>
      </c>
      <c r="H26" s="15">
        <v>21.64</v>
      </c>
      <c r="I26" s="15">
        <v>7.76</v>
      </c>
      <c r="J26" s="7">
        <v>2.0299999999999998</v>
      </c>
      <c r="K26" s="7">
        <v>1</v>
      </c>
      <c r="L26" s="8">
        <v>0.17</v>
      </c>
      <c r="M26" s="6">
        <v>1351.27</v>
      </c>
      <c r="N26" s="9"/>
      <c r="O26" s="1"/>
    </row>
    <row r="27" spans="1:15" ht="17.25">
      <c r="A27" s="36" t="s">
        <v>29</v>
      </c>
      <c r="B27" s="38" t="s">
        <v>43</v>
      </c>
      <c r="C27" s="36"/>
      <c r="D27" s="7">
        <v>0.05</v>
      </c>
      <c r="E27" s="15">
        <v>129.63</v>
      </c>
      <c r="F27" s="15">
        <v>20.25</v>
      </c>
      <c r="G27" s="15">
        <v>10.89</v>
      </c>
      <c r="H27" s="15">
        <v>6.52</v>
      </c>
      <c r="I27" s="15">
        <v>3.87</v>
      </c>
      <c r="J27" s="7">
        <v>1.4</v>
      </c>
      <c r="K27" s="7">
        <v>0.67</v>
      </c>
      <c r="L27" s="8">
        <v>0.03</v>
      </c>
      <c r="M27" s="6">
        <v>173.31</v>
      </c>
      <c r="N27" s="9"/>
      <c r="O27" s="1"/>
    </row>
    <row r="28" spans="1:15" ht="17.25">
      <c r="A28" s="36" t="s">
        <v>30</v>
      </c>
      <c r="B28" s="38" t="s">
        <v>43</v>
      </c>
      <c r="C28" s="36"/>
      <c r="D28" s="7">
        <v>118.1</v>
      </c>
      <c r="E28" s="15">
        <v>1012.96</v>
      </c>
      <c r="F28" s="15">
        <v>28.03</v>
      </c>
      <c r="G28" s="15">
        <v>11.75</v>
      </c>
      <c r="H28" s="15">
        <v>6.64</v>
      </c>
      <c r="I28" s="15">
        <v>5.34</v>
      </c>
      <c r="J28" s="7">
        <v>2.16</v>
      </c>
      <c r="K28" s="7">
        <v>1.1499999999999999</v>
      </c>
      <c r="L28" s="8">
        <v>0.16</v>
      </c>
      <c r="M28" s="6">
        <v>1186.29</v>
      </c>
      <c r="N28" s="9"/>
      <c r="O28" s="1"/>
    </row>
    <row r="29" spans="1:15" ht="17.25">
      <c r="A29" s="36" t="s">
        <v>31</v>
      </c>
      <c r="B29" s="38" t="s">
        <v>43</v>
      </c>
      <c r="C29" s="36"/>
      <c r="D29" s="7" t="s">
        <v>62</v>
      </c>
      <c r="E29" s="15">
        <v>37.85</v>
      </c>
      <c r="F29" s="15">
        <v>12.82</v>
      </c>
      <c r="G29" s="15">
        <v>4.18</v>
      </c>
      <c r="H29" s="15">
        <v>1.43</v>
      </c>
      <c r="I29" s="15">
        <v>0.39</v>
      </c>
      <c r="J29" s="7">
        <v>0.03</v>
      </c>
      <c r="K29" s="7">
        <v>0</v>
      </c>
      <c r="L29" s="8">
        <v>0.02</v>
      </c>
      <c r="M29" s="6">
        <v>56.72</v>
      </c>
      <c r="N29" s="9"/>
      <c r="O29" s="1"/>
    </row>
    <row r="30" spans="1:15" ht="17.25">
      <c r="A30" s="36" t="s">
        <v>32</v>
      </c>
      <c r="B30" s="38" t="s">
        <v>43</v>
      </c>
      <c r="C30" s="36"/>
      <c r="D30" s="19" t="s">
        <v>62</v>
      </c>
      <c r="E30" s="15">
        <v>10.57</v>
      </c>
      <c r="F30" s="15">
        <v>2.5099999999999998</v>
      </c>
      <c r="G30" s="15">
        <v>1</v>
      </c>
      <c r="H30" s="15">
        <v>0.73</v>
      </c>
      <c r="I30" s="15">
        <v>0.77</v>
      </c>
      <c r="J30" s="7">
        <v>0.42</v>
      </c>
      <c r="K30" s="7">
        <v>0.68</v>
      </c>
      <c r="L30" s="8">
        <v>0.33</v>
      </c>
      <c r="M30" s="6">
        <v>17.010000000000002</v>
      </c>
      <c r="N30" s="9"/>
      <c r="O30" s="1"/>
    </row>
    <row r="31" spans="1:15" ht="17.25">
      <c r="A31" s="36" t="s">
        <v>33</v>
      </c>
      <c r="B31" s="38" t="s">
        <v>43</v>
      </c>
      <c r="C31" s="36"/>
      <c r="D31" s="19" t="s">
        <v>62</v>
      </c>
      <c r="E31" s="15">
        <v>11.39</v>
      </c>
      <c r="F31" s="15">
        <v>14.43</v>
      </c>
      <c r="G31" s="15">
        <v>14.15</v>
      </c>
      <c r="H31" s="15">
        <v>11.12</v>
      </c>
      <c r="I31" s="15">
        <v>5.35</v>
      </c>
      <c r="J31" s="7">
        <v>0.56000000000000005</v>
      </c>
      <c r="K31" s="7">
        <v>7.0000000000000007E-2</v>
      </c>
      <c r="L31" s="8" t="s">
        <v>62</v>
      </c>
      <c r="M31" s="6">
        <v>57.07</v>
      </c>
      <c r="N31" s="9"/>
      <c r="O31" s="1"/>
    </row>
    <row r="32" spans="1:15" ht="17.25">
      <c r="A32" s="36" t="s">
        <v>34</v>
      </c>
      <c r="B32" s="38" t="s">
        <v>43</v>
      </c>
      <c r="C32" s="36"/>
      <c r="D32" s="7" t="s">
        <v>62</v>
      </c>
      <c r="E32" s="15">
        <v>21.77</v>
      </c>
      <c r="F32" s="15">
        <v>14.7</v>
      </c>
      <c r="G32" s="15">
        <v>9.4700000000000006</v>
      </c>
      <c r="H32" s="15">
        <v>7.74</v>
      </c>
      <c r="I32" s="15">
        <v>6.95</v>
      </c>
      <c r="J32" s="7">
        <v>2</v>
      </c>
      <c r="K32" s="7">
        <v>0.5</v>
      </c>
      <c r="L32" s="8">
        <v>0.01</v>
      </c>
      <c r="M32" s="6">
        <v>63.14</v>
      </c>
      <c r="N32" s="9"/>
      <c r="O32" s="1"/>
    </row>
    <row r="33" spans="1:17" ht="17.25">
      <c r="A33" s="36" t="s">
        <v>35</v>
      </c>
      <c r="B33" s="38" t="s">
        <v>43</v>
      </c>
      <c r="C33" s="36"/>
      <c r="D33" s="7">
        <v>0.19</v>
      </c>
      <c r="E33" s="15">
        <v>43.42</v>
      </c>
      <c r="F33" s="15">
        <v>30.32</v>
      </c>
      <c r="G33" s="15">
        <v>27</v>
      </c>
      <c r="H33" s="15">
        <v>28.88</v>
      </c>
      <c r="I33" s="15">
        <v>30.9</v>
      </c>
      <c r="J33" s="7">
        <v>10.74</v>
      </c>
      <c r="K33" s="7">
        <v>3.96</v>
      </c>
      <c r="L33" s="8">
        <v>0.28999999999999998</v>
      </c>
      <c r="M33" s="6">
        <v>175.7</v>
      </c>
      <c r="N33" s="9"/>
      <c r="O33" s="1"/>
    </row>
    <row r="34" spans="1:17" ht="17.25">
      <c r="A34" s="40" t="s">
        <v>6</v>
      </c>
      <c r="B34" s="38" t="s">
        <v>43</v>
      </c>
      <c r="C34" s="40"/>
      <c r="D34" s="13">
        <v>120.16</v>
      </c>
      <c r="E34" s="12">
        <v>4724.93</v>
      </c>
      <c r="F34" s="12">
        <v>1117.23</v>
      </c>
      <c r="G34" s="12">
        <v>624.41999999999996</v>
      </c>
      <c r="H34" s="12">
        <v>446.79999999999995</v>
      </c>
      <c r="I34" s="12">
        <v>360.46999999999997</v>
      </c>
      <c r="J34" s="13">
        <v>93.350000000000009</v>
      </c>
      <c r="K34" s="13">
        <v>28.930000000000003</v>
      </c>
      <c r="L34" s="13">
        <v>4.6599999999999984</v>
      </c>
      <c r="M34" s="39">
        <v>7520.9500000000016</v>
      </c>
      <c r="N34" s="9"/>
    </row>
    <row r="35" spans="1:17" ht="17.25">
      <c r="A35" s="20" t="s">
        <v>52</v>
      </c>
      <c r="B35" s="20"/>
      <c r="C35" s="20"/>
      <c r="D35" s="20"/>
      <c r="E35" s="20"/>
      <c r="F35" s="20"/>
      <c r="G35" s="20"/>
      <c r="H35" s="20"/>
      <c r="I35" s="20"/>
      <c r="J35" s="20"/>
      <c r="K35" s="21"/>
      <c r="L35" s="20"/>
      <c r="M35" s="20"/>
      <c r="O35" s="16"/>
    </row>
    <row r="36" spans="1:17" s="53" customFormat="1" ht="39.75" customHeight="1">
      <c r="A36" s="44" t="s">
        <v>5</v>
      </c>
      <c r="B36" s="49" t="s">
        <v>39</v>
      </c>
      <c r="C36" s="49" t="s">
        <v>40</v>
      </c>
      <c r="D36" s="50" t="s">
        <v>36</v>
      </c>
      <c r="E36" s="51" t="s">
        <v>44</v>
      </c>
      <c r="F36" s="51" t="s">
        <v>49</v>
      </c>
      <c r="G36" s="51" t="s">
        <v>50</v>
      </c>
      <c r="H36" s="51" t="s">
        <v>51</v>
      </c>
      <c r="I36" s="51" t="s">
        <v>48</v>
      </c>
      <c r="J36" s="51" t="s">
        <v>47</v>
      </c>
      <c r="K36" s="51" t="s">
        <v>46</v>
      </c>
      <c r="L36" s="51" t="s">
        <v>45</v>
      </c>
      <c r="M36" s="52" t="s">
        <v>37</v>
      </c>
    </row>
    <row r="37" spans="1:17" ht="17.25">
      <c r="A37" s="36" t="s">
        <v>8</v>
      </c>
      <c r="B37" s="38" t="s">
        <v>41</v>
      </c>
      <c r="C37" s="36"/>
      <c r="D37" s="23">
        <v>0.03</v>
      </c>
      <c r="E37" s="23">
        <v>18.399999999999999</v>
      </c>
      <c r="F37" s="23">
        <v>14.85</v>
      </c>
      <c r="G37" s="23">
        <v>17.010000000000002</v>
      </c>
      <c r="H37" s="23">
        <v>22.4</v>
      </c>
      <c r="I37" s="23">
        <v>22.43</v>
      </c>
      <c r="J37" s="24">
        <v>4.29</v>
      </c>
      <c r="K37" s="24">
        <v>0.6</v>
      </c>
      <c r="L37" s="24" t="s">
        <v>62</v>
      </c>
      <c r="M37" s="45">
        <v>100</v>
      </c>
      <c r="N37" s="25"/>
      <c r="O37" s="26"/>
      <c r="P37" s="6"/>
      <c r="Q37" s="27"/>
    </row>
    <row r="38" spans="1:17" ht="17.25">
      <c r="A38" s="36" t="s">
        <v>9</v>
      </c>
      <c r="B38" s="38" t="s">
        <v>41</v>
      </c>
      <c r="C38" s="36"/>
      <c r="D38" s="23" t="s">
        <v>63</v>
      </c>
      <c r="E38" s="23">
        <v>75.25</v>
      </c>
      <c r="F38" s="23">
        <v>10.31</v>
      </c>
      <c r="G38" s="23">
        <v>6.07</v>
      </c>
      <c r="H38" s="23">
        <v>3.3</v>
      </c>
      <c r="I38" s="23">
        <v>2.29</v>
      </c>
      <c r="J38" s="24">
        <v>1.32</v>
      </c>
      <c r="K38" s="24">
        <v>1.25</v>
      </c>
      <c r="L38" s="24">
        <v>0.21</v>
      </c>
      <c r="M38" s="45">
        <v>100</v>
      </c>
      <c r="N38" s="25"/>
      <c r="O38" s="27"/>
      <c r="P38" s="28"/>
    </row>
    <row r="39" spans="1:17" ht="17.25">
      <c r="A39" s="36" t="s">
        <v>10</v>
      </c>
      <c r="B39" s="38" t="s">
        <v>41</v>
      </c>
      <c r="C39" s="36"/>
      <c r="D39" s="23" t="s">
        <v>63</v>
      </c>
      <c r="E39" s="23">
        <v>38.020000000000003</v>
      </c>
      <c r="F39" s="23">
        <v>20.63</v>
      </c>
      <c r="G39" s="23">
        <v>12.9</v>
      </c>
      <c r="H39" s="23">
        <v>9.73</v>
      </c>
      <c r="I39" s="23">
        <v>8.0500000000000007</v>
      </c>
      <c r="J39" s="24">
        <v>3.41</v>
      </c>
      <c r="K39" s="24">
        <v>4.5999999999999996</v>
      </c>
      <c r="L39" s="24">
        <v>2.67</v>
      </c>
      <c r="M39" s="45">
        <v>100</v>
      </c>
      <c r="N39" s="25"/>
      <c r="O39" s="27"/>
      <c r="P39" s="28"/>
    </row>
    <row r="40" spans="1:17" ht="17.25">
      <c r="A40" s="36" t="s">
        <v>11</v>
      </c>
      <c r="B40" s="38" t="s">
        <v>41</v>
      </c>
      <c r="C40" s="36"/>
      <c r="D40" s="23">
        <v>0.11</v>
      </c>
      <c r="E40" s="23">
        <v>21.89</v>
      </c>
      <c r="F40" s="23">
        <v>22.36</v>
      </c>
      <c r="G40" s="23">
        <v>15.93</v>
      </c>
      <c r="H40" s="23">
        <v>12.76</v>
      </c>
      <c r="I40" s="23">
        <v>14.34</v>
      </c>
      <c r="J40" s="24">
        <v>8.81</v>
      </c>
      <c r="K40" s="24">
        <v>3.78</v>
      </c>
      <c r="L40" s="24">
        <v>0.17</v>
      </c>
      <c r="M40" s="45">
        <v>100</v>
      </c>
      <c r="N40" s="25"/>
      <c r="O40" s="27"/>
    </row>
    <row r="41" spans="1:17" s="31" customFormat="1" ht="17.25">
      <c r="A41" s="37" t="s">
        <v>12</v>
      </c>
      <c r="B41" s="38" t="s">
        <v>41</v>
      </c>
      <c r="C41" s="37"/>
      <c r="D41" s="29">
        <v>0.01</v>
      </c>
      <c r="E41" s="29">
        <v>23.13</v>
      </c>
      <c r="F41" s="29">
        <v>18.829999999999998</v>
      </c>
      <c r="G41" s="29">
        <v>19.329999999999998</v>
      </c>
      <c r="H41" s="29">
        <v>18.72</v>
      </c>
      <c r="I41" s="29">
        <v>15.22</v>
      </c>
      <c r="J41" s="30">
        <v>2.95</v>
      </c>
      <c r="K41" s="30">
        <v>1.37</v>
      </c>
      <c r="L41" s="30">
        <v>0.43</v>
      </c>
      <c r="M41" s="46">
        <v>100</v>
      </c>
      <c r="N41" s="25"/>
      <c r="O41" s="27"/>
    </row>
    <row r="42" spans="1:17" ht="17.25">
      <c r="A42" s="36" t="s">
        <v>13</v>
      </c>
      <c r="B42" s="38" t="s">
        <v>41</v>
      </c>
      <c r="C42" s="36"/>
      <c r="D42" s="23" t="s">
        <v>63</v>
      </c>
      <c r="E42" s="23">
        <v>67.290000000000006</v>
      </c>
      <c r="F42" s="23">
        <v>15.16</v>
      </c>
      <c r="G42" s="23">
        <v>6.55</v>
      </c>
      <c r="H42" s="23">
        <v>4.8</v>
      </c>
      <c r="I42" s="23">
        <v>3.8</v>
      </c>
      <c r="J42" s="24">
        <v>1.46</v>
      </c>
      <c r="K42" s="24">
        <v>0.88</v>
      </c>
      <c r="L42" s="24">
        <v>0.06</v>
      </c>
      <c r="M42" s="45">
        <v>100</v>
      </c>
      <c r="N42" s="25"/>
      <c r="O42" s="27"/>
    </row>
    <row r="43" spans="1:17" ht="17.25">
      <c r="A43" s="36" t="s">
        <v>14</v>
      </c>
      <c r="B43" s="38" t="s">
        <v>41</v>
      </c>
      <c r="C43" s="36"/>
      <c r="D43" s="23">
        <v>0.02</v>
      </c>
      <c r="E43" s="23">
        <v>18.440000000000001</v>
      </c>
      <c r="F43" s="23">
        <v>23.91</v>
      </c>
      <c r="G43" s="23">
        <v>25.46</v>
      </c>
      <c r="H43" s="23">
        <v>20.13</v>
      </c>
      <c r="I43" s="23">
        <v>10.49</v>
      </c>
      <c r="J43" s="24">
        <v>1.38</v>
      </c>
      <c r="K43" s="24">
        <v>0.17</v>
      </c>
      <c r="L43" s="23" t="s">
        <v>62</v>
      </c>
      <c r="M43" s="45">
        <v>100</v>
      </c>
      <c r="N43" s="25"/>
      <c r="O43" s="27"/>
    </row>
    <row r="44" spans="1:17" ht="17.25">
      <c r="A44" s="36" t="s">
        <v>15</v>
      </c>
      <c r="B44" s="38" t="s">
        <v>41</v>
      </c>
      <c r="C44" s="36"/>
      <c r="D44" s="23">
        <v>0</v>
      </c>
      <c r="E44" s="23">
        <v>60.47</v>
      </c>
      <c r="F44" s="23">
        <v>21.07</v>
      </c>
      <c r="G44" s="23">
        <v>12</v>
      </c>
      <c r="H44" s="23">
        <v>4.79</v>
      </c>
      <c r="I44" s="23">
        <v>1.54</v>
      </c>
      <c r="J44" s="24">
        <v>0.13</v>
      </c>
      <c r="K44" s="24">
        <v>0.01</v>
      </c>
      <c r="L44" s="23" t="s">
        <v>62</v>
      </c>
      <c r="M44" s="45">
        <v>100</v>
      </c>
      <c r="N44" s="25"/>
      <c r="O44" s="27"/>
    </row>
    <row r="45" spans="1:17" ht="17.25">
      <c r="A45" s="36" t="s">
        <v>16</v>
      </c>
      <c r="B45" s="38" t="s">
        <v>41</v>
      </c>
      <c r="C45" s="36"/>
      <c r="D45" s="23">
        <v>0.01</v>
      </c>
      <c r="E45" s="23">
        <v>55.59</v>
      </c>
      <c r="F45" s="23">
        <v>18.2</v>
      </c>
      <c r="G45" s="23">
        <v>11.34</v>
      </c>
      <c r="H45" s="23">
        <v>8.16</v>
      </c>
      <c r="I45" s="23">
        <v>5.32</v>
      </c>
      <c r="J45" s="24">
        <v>1.02</v>
      </c>
      <c r="K45" s="24">
        <v>0.34</v>
      </c>
      <c r="L45" s="24">
        <v>3.0000000000000002E-2</v>
      </c>
      <c r="M45" s="45">
        <v>100</v>
      </c>
      <c r="N45" s="25"/>
      <c r="O45" s="27"/>
    </row>
    <row r="46" spans="1:17" ht="17.25">
      <c r="A46" s="36" t="s">
        <v>17</v>
      </c>
      <c r="B46" s="38" t="s">
        <v>41</v>
      </c>
      <c r="C46" s="36"/>
      <c r="D46" s="23">
        <v>0.03</v>
      </c>
      <c r="E46" s="23">
        <v>18.37</v>
      </c>
      <c r="F46" s="23">
        <v>10.78</v>
      </c>
      <c r="G46" s="23">
        <v>11.17</v>
      </c>
      <c r="H46" s="23">
        <v>19.02</v>
      </c>
      <c r="I46" s="23">
        <v>30.32</v>
      </c>
      <c r="J46" s="24">
        <v>9.18</v>
      </c>
      <c r="K46" s="24">
        <v>1.19</v>
      </c>
      <c r="L46" s="24">
        <v>0.03</v>
      </c>
      <c r="M46" s="45">
        <v>100</v>
      </c>
      <c r="N46" s="25"/>
      <c r="O46" s="27"/>
    </row>
    <row r="47" spans="1:17" ht="17.25">
      <c r="A47" s="36" t="s">
        <v>18</v>
      </c>
      <c r="B47" s="38" t="s">
        <v>41</v>
      </c>
      <c r="C47" s="36"/>
      <c r="D47" s="23">
        <v>0.96</v>
      </c>
      <c r="E47" s="23">
        <v>89.96</v>
      </c>
      <c r="F47" s="23">
        <v>5.96</v>
      </c>
      <c r="G47" s="23">
        <v>2.13</v>
      </c>
      <c r="H47" s="23">
        <v>0.7</v>
      </c>
      <c r="I47" s="23">
        <v>0.19</v>
      </c>
      <c r="J47" s="24">
        <v>0.05</v>
      </c>
      <c r="K47" s="24">
        <v>0.02</v>
      </c>
      <c r="L47" s="24">
        <v>0.02</v>
      </c>
      <c r="M47" s="45"/>
      <c r="N47" s="25"/>
      <c r="O47" s="27"/>
    </row>
    <row r="48" spans="1:17" ht="17.25">
      <c r="A48" s="36" t="s">
        <v>19</v>
      </c>
      <c r="B48" s="38" t="s">
        <v>41</v>
      </c>
      <c r="C48" s="36"/>
      <c r="D48" s="23">
        <v>0.03</v>
      </c>
      <c r="E48" s="23">
        <v>72.900000000000006</v>
      </c>
      <c r="F48" s="23">
        <v>13.73</v>
      </c>
      <c r="G48" s="23">
        <v>6.79</v>
      </c>
      <c r="H48" s="23">
        <v>3.67</v>
      </c>
      <c r="I48" s="23">
        <v>2.06</v>
      </c>
      <c r="J48" s="24">
        <v>0.57999999999999996</v>
      </c>
      <c r="K48" s="24">
        <v>0.23</v>
      </c>
      <c r="L48" s="24">
        <v>0.02</v>
      </c>
      <c r="M48" s="45">
        <v>100</v>
      </c>
      <c r="N48" s="25"/>
      <c r="O48" s="27"/>
    </row>
    <row r="49" spans="1:20" ht="17.25">
      <c r="A49" s="36" t="s">
        <v>20</v>
      </c>
      <c r="B49" s="38" t="s">
        <v>41</v>
      </c>
      <c r="C49" s="36"/>
      <c r="D49" s="23">
        <v>0.12</v>
      </c>
      <c r="E49" s="23">
        <v>86.34</v>
      </c>
      <c r="F49" s="23">
        <v>7.98</v>
      </c>
      <c r="G49" s="23">
        <v>2.92</v>
      </c>
      <c r="H49" s="23">
        <v>1.57</v>
      </c>
      <c r="I49" s="23">
        <v>0.9</v>
      </c>
      <c r="J49" s="24">
        <v>0.15</v>
      </c>
      <c r="K49" s="24">
        <v>0.03</v>
      </c>
      <c r="L49" s="23" t="s">
        <v>62</v>
      </c>
      <c r="M49" s="45">
        <v>100</v>
      </c>
      <c r="N49" s="25"/>
      <c r="O49" s="27"/>
    </row>
    <row r="50" spans="1:20" ht="17.25">
      <c r="A50" s="36" t="s">
        <v>21</v>
      </c>
      <c r="B50" s="38" t="s">
        <v>41</v>
      </c>
      <c r="C50" s="36"/>
      <c r="D50" s="23" t="s">
        <v>63</v>
      </c>
      <c r="E50" s="23">
        <v>82.41</v>
      </c>
      <c r="F50" s="23">
        <v>10.06</v>
      </c>
      <c r="G50" s="23">
        <v>3.71</v>
      </c>
      <c r="H50" s="23">
        <v>2.0499999999999998</v>
      </c>
      <c r="I50" s="23">
        <v>1.22</v>
      </c>
      <c r="J50" s="24">
        <v>0.37</v>
      </c>
      <c r="K50" s="24">
        <v>0.55000000000000004</v>
      </c>
      <c r="L50" s="24">
        <v>0.02</v>
      </c>
      <c r="M50" s="45">
        <v>100</v>
      </c>
      <c r="N50" s="25"/>
      <c r="O50" s="27"/>
      <c r="T50" s="27"/>
    </row>
    <row r="51" spans="1:20" ht="17.25">
      <c r="A51" s="36" t="s">
        <v>22</v>
      </c>
      <c r="B51" s="38" t="s">
        <v>41</v>
      </c>
      <c r="C51" s="36"/>
      <c r="D51" s="23">
        <v>7.0000000000000007E-2</v>
      </c>
      <c r="E51" s="23">
        <v>80.44</v>
      </c>
      <c r="F51" s="23">
        <v>10.63</v>
      </c>
      <c r="G51" s="23">
        <v>4.42</v>
      </c>
      <c r="H51" s="23">
        <v>2.52</v>
      </c>
      <c r="I51" s="23">
        <v>1.39</v>
      </c>
      <c r="J51" s="24">
        <v>0.37</v>
      </c>
      <c r="K51" s="24">
        <v>0.14000000000000001</v>
      </c>
      <c r="L51" s="24">
        <v>0.03</v>
      </c>
      <c r="M51" s="45">
        <v>100</v>
      </c>
      <c r="N51" s="25"/>
      <c r="O51" s="27"/>
    </row>
    <row r="52" spans="1:20" ht="17.25">
      <c r="A52" s="36" t="s">
        <v>23</v>
      </c>
      <c r="B52" s="38" t="s">
        <v>41</v>
      </c>
      <c r="C52" s="36"/>
      <c r="D52" s="23" t="s">
        <v>63</v>
      </c>
      <c r="E52" s="23">
        <v>18.23</v>
      </c>
      <c r="F52" s="23">
        <v>11.98</v>
      </c>
      <c r="G52" s="23">
        <v>11.46</v>
      </c>
      <c r="H52" s="23">
        <v>22.92</v>
      </c>
      <c r="I52" s="23">
        <v>30.73</v>
      </c>
      <c r="J52" s="24">
        <v>4.6900000000000004</v>
      </c>
      <c r="K52" s="24" t="s">
        <v>62</v>
      </c>
      <c r="L52" s="23" t="s">
        <v>62</v>
      </c>
      <c r="M52" s="45">
        <v>100</v>
      </c>
      <c r="N52" s="25"/>
      <c r="O52" s="27"/>
    </row>
    <row r="53" spans="1:20" ht="17.25">
      <c r="A53" s="36" t="s">
        <v>24</v>
      </c>
      <c r="B53" s="38" t="s">
        <v>41</v>
      </c>
      <c r="C53" s="36"/>
      <c r="D53" s="23">
        <v>0.05</v>
      </c>
      <c r="E53" s="23">
        <v>60.74</v>
      </c>
      <c r="F53" s="23">
        <v>19.32</v>
      </c>
      <c r="G53" s="23">
        <v>8.5399999999999991</v>
      </c>
      <c r="H53" s="23">
        <v>5.22</v>
      </c>
      <c r="I53" s="23">
        <v>3.82</v>
      </c>
      <c r="J53" s="24">
        <v>1.4</v>
      </c>
      <c r="K53" s="24">
        <v>0.63</v>
      </c>
      <c r="L53" s="24">
        <v>0.28000000000000003</v>
      </c>
      <c r="M53" s="45">
        <v>100</v>
      </c>
      <c r="N53" s="25"/>
      <c r="O53" s="27"/>
      <c r="P53" s="28"/>
    </row>
    <row r="54" spans="1:20" ht="17.25">
      <c r="A54" s="36" t="s">
        <v>25</v>
      </c>
      <c r="B54" s="38" t="s">
        <v>41</v>
      </c>
      <c r="C54" s="36"/>
      <c r="D54" s="23" t="s">
        <v>63</v>
      </c>
      <c r="E54" s="23">
        <v>93.24</v>
      </c>
      <c r="F54" s="23">
        <v>4.12</v>
      </c>
      <c r="G54" s="23">
        <v>1.1499999999999999</v>
      </c>
      <c r="H54" s="23">
        <v>0.66</v>
      </c>
      <c r="I54" s="23">
        <v>0.66</v>
      </c>
      <c r="J54" s="24">
        <v>0.16</v>
      </c>
      <c r="K54" s="23" t="s">
        <v>62</v>
      </c>
      <c r="L54" s="23" t="s">
        <v>62</v>
      </c>
      <c r="M54" s="45">
        <v>100</v>
      </c>
      <c r="N54" s="25"/>
      <c r="O54" s="27"/>
      <c r="P54" s="28"/>
    </row>
    <row r="55" spans="1:20" ht="17.25">
      <c r="A55" s="36" t="s">
        <v>26</v>
      </c>
      <c r="B55" s="38" t="s">
        <v>41</v>
      </c>
      <c r="C55" s="36"/>
      <c r="D55" s="23" t="s">
        <v>63</v>
      </c>
      <c r="E55" s="23">
        <v>20.79</v>
      </c>
      <c r="F55" s="23">
        <v>15.52</v>
      </c>
      <c r="G55" s="23">
        <v>13.83</v>
      </c>
      <c r="H55" s="23">
        <v>20.79</v>
      </c>
      <c r="I55" s="23">
        <v>24.3</v>
      </c>
      <c r="J55" s="24">
        <v>3.79</v>
      </c>
      <c r="K55" s="24">
        <v>0.96</v>
      </c>
      <c r="L55" s="24">
        <v>0.02</v>
      </c>
      <c r="M55" s="45">
        <v>100</v>
      </c>
      <c r="N55" s="25"/>
      <c r="O55" s="27"/>
      <c r="P55" s="28"/>
    </row>
    <row r="56" spans="1:20" ht="17.25">
      <c r="A56" s="36" t="s">
        <v>27</v>
      </c>
      <c r="B56" s="38" t="s">
        <v>41</v>
      </c>
      <c r="C56" s="36"/>
      <c r="D56" s="23" t="s">
        <v>63</v>
      </c>
      <c r="E56" s="23">
        <v>33.61</v>
      </c>
      <c r="F56" s="23">
        <v>25.29</v>
      </c>
      <c r="G56" s="23">
        <v>22.05</v>
      </c>
      <c r="H56" s="23">
        <v>13.67</v>
      </c>
      <c r="I56" s="23">
        <v>5.0199999999999996</v>
      </c>
      <c r="J56" s="24">
        <v>0.3</v>
      </c>
      <c r="K56" s="24">
        <v>0.08</v>
      </c>
      <c r="L56" s="24" t="s">
        <v>62</v>
      </c>
      <c r="M56" s="45">
        <v>100</v>
      </c>
      <c r="N56" s="25"/>
      <c r="O56" s="27"/>
      <c r="P56" s="28"/>
    </row>
    <row r="57" spans="1:20" ht="17.25">
      <c r="A57" s="36" t="s">
        <v>28</v>
      </c>
      <c r="B57" s="38" t="s">
        <v>41</v>
      </c>
      <c r="C57" s="36"/>
      <c r="D57" s="23">
        <v>0.01</v>
      </c>
      <c r="E57" s="23">
        <v>72.94</v>
      </c>
      <c r="F57" s="23">
        <v>19.61</v>
      </c>
      <c r="G57" s="23">
        <v>5.03</v>
      </c>
      <c r="H57" s="23">
        <v>1.6</v>
      </c>
      <c r="I57" s="23">
        <v>0.56999999999999995</v>
      </c>
      <c r="J57" s="24">
        <v>0.15</v>
      </c>
      <c r="K57" s="24">
        <v>0.08</v>
      </c>
      <c r="L57" s="24">
        <v>0.01</v>
      </c>
      <c r="M57" s="45">
        <v>100</v>
      </c>
      <c r="N57" s="25"/>
      <c r="O57" s="27"/>
    </row>
    <row r="58" spans="1:20" ht="17.25">
      <c r="A58" s="36" t="s">
        <v>29</v>
      </c>
      <c r="B58" s="38" t="s">
        <v>41</v>
      </c>
      <c r="C58" s="36"/>
      <c r="D58" s="23">
        <v>0.03</v>
      </c>
      <c r="E58" s="23">
        <v>74.790000000000006</v>
      </c>
      <c r="F58" s="23">
        <v>11.68</v>
      </c>
      <c r="G58" s="23">
        <v>6.28</v>
      </c>
      <c r="H58" s="23">
        <v>3.76</v>
      </c>
      <c r="I58" s="23">
        <v>2.23</v>
      </c>
      <c r="J58" s="24">
        <v>0.81</v>
      </c>
      <c r="K58" s="24">
        <v>0.39</v>
      </c>
      <c r="L58" s="24">
        <v>0.02</v>
      </c>
      <c r="M58" s="45">
        <v>100</v>
      </c>
      <c r="N58" s="25"/>
      <c r="O58" s="27"/>
      <c r="P58" s="28"/>
    </row>
    <row r="59" spans="1:20" ht="17.25">
      <c r="A59" s="36" t="s">
        <v>30</v>
      </c>
      <c r="B59" s="38" t="s">
        <v>41</v>
      </c>
      <c r="C59" s="36"/>
      <c r="D59" s="23">
        <v>9.9600000000000009</v>
      </c>
      <c r="E59" s="23">
        <v>85.39</v>
      </c>
      <c r="F59" s="23">
        <v>2.36</v>
      </c>
      <c r="G59" s="23">
        <v>0.99</v>
      </c>
      <c r="H59" s="23">
        <v>0.56000000000000005</v>
      </c>
      <c r="I59" s="23">
        <v>0.45</v>
      </c>
      <c r="J59" s="24">
        <v>0.18</v>
      </c>
      <c r="K59" s="24">
        <v>0.1</v>
      </c>
      <c r="L59" s="24">
        <v>0.01</v>
      </c>
      <c r="M59" s="45">
        <v>100</v>
      </c>
      <c r="N59" s="25"/>
      <c r="O59" s="27"/>
      <c r="P59" s="28"/>
    </row>
    <row r="60" spans="1:20" ht="17.25">
      <c r="A60" s="36" t="s">
        <v>31</v>
      </c>
      <c r="B60" s="38" t="s">
        <v>41</v>
      </c>
      <c r="C60" s="36"/>
      <c r="D60" s="23" t="s">
        <v>63</v>
      </c>
      <c r="E60" s="23">
        <v>66.73</v>
      </c>
      <c r="F60" s="23">
        <v>22.6</v>
      </c>
      <c r="G60" s="23">
        <v>7.37</v>
      </c>
      <c r="H60" s="23">
        <v>2.52</v>
      </c>
      <c r="I60" s="23">
        <v>0.69</v>
      </c>
      <c r="J60" s="24">
        <v>0.05</v>
      </c>
      <c r="K60" s="24" t="s">
        <v>62</v>
      </c>
      <c r="L60" s="24">
        <v>0.04</v>
      </c>
      <c r="M60" s="45">
        <v>100</v>
      </c>
      <c r="N60" s="25"/>
      <c r="O60" s="27"/>
      <c r="P60" s="28"/>
    </row>
    <row r="61" spans="1:20" ht="17.25">
      <c r="A61" s="36" t="s">
        <v>32</v>
      </c>
      <c r="B61" s="38" t="s">
        <v>41</v>
      </c>
      <c r="C61" s="36"/>
      <c r="D61" s="23" t="s">
        <v>63</v>
      </c>
      <c r="E61" s="23">
        <v>62.14</v>
      </c>
      <c r="F61" s="23">
        <v>14.76</v>
      </c>
      <c r="G61" s="23">
        <v>5.88</v>
      </c>
      <c r="H61" s="23">
        <v>4.29</v>
      </c>
      <c r="I61" s="23">
        <v>4.53</v>
      </c>
      <c r="J61" s="24">
        <v>2.4700000000000002</v>
      </c>
      <c r="K61" s="24">
        <v>4</v>
      </c>
      <c r="L61" s="24">
        <v>1.94</v>
      </c>
      <c r="M61" s="45">
        <v>100</v>
      </c>
      <c r="N61" s="25"/>
      <c r="O61" s="27"/>
      <c r="P61" s="28"/>
    </row>
    <row r="62" spans="1:20" ht="17.25">
      <c r="A62" s="36" t="s">
        <v>33</v>
      </c>
      <c r="B62" s="38" t="s">
        <v>41</v>
      </c>
      <c r="C62" s="36"/>
      <c r="D62" s="23" t="s">
        <v>63</v>
      </c>
      <c r="E62" s="23">
        <v>19.96</v>
      </c>
      <c r="F62" s="23">
        <v>25.28</v>
      </c>
      <c r="G62" s="23">
        <v>24.79</v>
      </c>
      <c r="H62" s="23">
        <v>19.48</v>
      </c>
      <c r="I62" s="23">
        <v>9.3699999999999992</v>
      </c>
      <c r="J62" s="24">
        <v>0.98</v>
      </c>
      <c r="K62" s="24">
        <v>0.13</v>
      </c>
      <c r="L62" s="24" t="s">
        <v>62</v>
      </c>
      <c r="M62" s="45">
        <v>100</v>
      </c>
      <c r="N62" s="25"/>
      <c r="O62" s="27"/>
    </row>
    <row r="63" spans="1:20" ht="17.25">
      <c r="A63" s="36" t="s">
        <v>34</v>
      </c>
      <c r="B63" s="38" t="s">
        <v>41</v>
      </c>
      <c r="C63" s="36"/>
      <c r="D63" s="23" t="s">
        <v>63</v>
      </c>
      <c r="E63" s="23">
        <v>34.47</v>
      </c>
      <c r="F63" s="23">
        <v>23.28</v>
      </c>
      <c r="G63" s="23">
        <v>15</v>
      </c>
      <c r="H63" s="23">
        <v>12.26</v>
      </c>
      <c r="I63" s="23">
        <v>11.01</v>
      </c>
      <c r="J63" s="24">
        <v>3.17</v>
      </c>
      <c r="K63" s="24">
        <v>0.78</v>
      </c>
      <c r="L63" s="24">
        <v>0.02</v>
      </c>
      <c r="M63" s="45">
        <v>100</v>
      </c>
      <c r="N63" s="25"/>
      <c r="O63" s="27"/>
    </row>
    <row r="64" spans="1:20" ht="17.25">
      <c r="A64" s="36" t="s">
        <v>35</v>
      </c>
      <c r="B64" s="38" t="s">
        <v>41</v>
      </c>
      <c r="C64" s="36"/>
      <c r="D64" s="23">
        <v>0.11</v>
      </c>
      <c r="E64" s="23">
        <v>24.71</v>
      </c>
      <c r="F64" s="23">
        <v>17.260000000000002</v>
      </c>
      <c r="G64" s="23">
        <v>15.37</v>
      </c>
      <c r="H64" s="23">
        <v>16.440000000000001</v>
      </c>
      <c r="I64" s="23">
        <v>17.59</v>
      </c>
      <c r="J64" s="24">
        <v>6.11</v>
      </c>
      <c r="K64" s="24">
        <v>2.25</v>
      </c>
      <c r="L64" s="24">
        <v>0.17</v>
      </c>
      <c r="M64" s="45">
        <v>100</v>
      </c>
      <c r="N64" s="25"/>
      <c r="O64" s="27"/>
    </row>
    <row r="65" spans="1:15" ht="17.25">
      <c r="A65" s="37" t="s">
        <v>6</v>
      </c>
      <c r="B65" s="38" t="s">
        <v>41</v>
      </c>
      <c r="C65" s="37"/>
      <c r="D65" s="29">
        <v>1.6</v>
      </c>
      <c r="E65" s="29">
        <v>62.82</v>
      </c>
      <c r="F65" s="29">
        <v>14.85</v>
      </c>
      <c r="G65" s="29">
        <v>8.3000000000000007</v>
      </c>
      <c r="H65" s="29">
        <v>5.94</v>
      </c>
      <c r="I65" s="29">
        <v>4.79</v>
      </c>
      <c r="J65" s="30">
        <v>1.24</v>
      </c>
      <c r="K65" s="30">
        <v>0.36</v>
      </c>
      <c r="L65" s="30">
        <v>0.06</v>
      </c>
      <c r="M65" s="46">
        <v>100</v>
      </c>
      <c r="N65" s="27"/>
      <c r="O65" s="27"/>
    </row>
    <row r="66" spans="1:15" ht="17.25">
      <c r="A66" s="32" t="s">
        <v>38</v>
      </c>
      <c r="B66" s="32"/>
      <c r="C66" s="32"/>
      <c r="D66" s="17"/>
      <c r="E66" s="17"/>
      <c r="F66" s="17"/>
      <c r="G66" s="17"/>
      <c r="H66" s="17"/>
      <c r="I66" s="17"/>
      <c r="J66" s="17"/>
      <c r="K66" s="17"/>
      <c r="L66" s="17"/>
      <c r="M66" s="34"/>
    </row>
    <row r="67" spans="1:15" ht="17.25">
      <c r="A67" s="32" t="s">
        <v>7</v>
      </c>
      <c r="B67" s="32"/>
      <c r="C67" s="32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5" s="17" customFormat="1">
      <c r="A68" s="33" t="s">
        <v>0</v>
      </c>
      <c r="B68" s="33"/>
      <c r="C68" s="33"/>
    </row>
  </sheetData>
  <pageMargins left="1.5748031496062993" right="1.6535433070866143" top="0.59055118110236227" bottom="2.2834645669291338" header="0.51181102362204722" footer="0.51181102362204722"/>
  <pageSetup paperSize="9" scale="97" orientation="portrait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2021-09-23T09:03:52Z</cp:lastPrinted>
  <dcterms:created xsi:type="dcterms:W3CDTF">2008-05-15T09:30:23Z</dcterms:created>
  <dcterms:modified xsi:type="dcterms:W3CDTF">2024-07-04T11:34:03Z</dcterms:modified>
</cp:coreProperties>
</file>