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4\02_06-40 Internet\90 Strukturberichte\Mühlenstruktur\"/>
    </mc:Choice>
  </mc:AlternateContent>
  <bookViews>
    <workbookView xWindow="0" yWindow="0" windowWidth="25200" windowHeight="11550"/>
  </bookViews>
  <sheets>
    <sheet name="Übersicht 1" sheetId="1" r:id="rId1"/>
    <sheet name="Übersicht 2" sheetId="2" r:id="rId2"/>
    <sheet name="Übersicht_3_1" sheetId="5" r:id="rId3"/>
    <sheet name="Übersicht_3_2" sheetId="6" r:id="rId4"/>
    <sheet name="Übersicht_3_3_und_3_4" sheetId="4" r:id="rId5"/>
    <sheet name="Übersicht 4" sheetId="7" r:id="rId6"/>
    <sheet name="UEBERS 5" sheetId="8" r:id="rId7"/>
    <sheet name="UEBERS6" sheetId="9" r:id="rId8"/>
    <sheet name="UEBERS 7" sheetId="10" r:id="rId9"/>
    <sheet name="UEBERS8" sheetId="11" r:id="rId10"/>
    <sheet name="UEBERS9" sheetId="12" r:id="rId11"/>
    <sheet name="Übersicht_10" sheetId="13" r:id="rId12"/>
    <sheet name="TABELLE 1 und TABELLE 2" sheetId="14" r:id="rId13"/>
    <sheet name="Tabelle_1_2" sheetId="15" r:id="rId14"/>
    <sheet name="Tabelle 3" sheetId="16" r:id="rId15"/>
    <sheet name="Tabelle 4.1 u. 4.2" sheetId="17" r:id="rId16"/>
    <sheet name="Tabelle 6" sheetId="18" r:id="rId17"/>
    <sheet name="Tabelle 7" sheetId="19" r:id="rId18"/>
    <sheet name="Tabelle_8" sheetId="20" r:id="rId19"/>
    <sheet name="Tabelle_9" sheetId="21" r:id="rId20"/>
    <sheet name="Tabelle 10" sheetId="22" r:id="rId21"/>
  </sheets>
  <externalReferences>
    <externalReference r:id="rId22"/>
    <externalReference r:id="rId23"/>
    <externalReference r:id="rId24"/>
    <externalReference r:id="rId25"/>
  </externalReferences>
  <definedNames>
    <definedName name="_xlnm.Print_Area" localSheetId="12">'TABELLE 1 und TABELLE 2'!$A$1:$H$38,'TABELLE 1 und TABELLE 2'!$A$42:$H$75</definedName>
    <definedName name="_xlnm.Print_Area" localSheetId="20">'Tabelle 10'!$A$1:$M$7</definedName>
    <definedName name="_xlnm.Print_Area" localSheetId="14">'Tabelle 3'!$A$1:$G$13</definedName>
    <definedName name="_xlnm.Print_Area" localSheetId="15">'Tabelle 4.1 u. 4.2'!$A$1:$I$55,'Tabelle 4.1 u. 4.2'!$A$57:$I$112,'Tabelle 4.1 u. 4.2'!$A$114:$I$169</definedName>
    <definedName name="_xlnm.Print_Area" localSheetId="16">'Tabelle 6'!$A$1:$I$16,'Tabelle 6'!$A$19:$I$34</definedName>
    <definedName name="_xlnm.Print_Area" localSheetId="17">'Tabelle 7'!$A$1:$G$62</definedName>
    <definedName name="_xlnm.Print_Area" localSheetId="13">Tabelle_1_2!$B$1:$N$11</definedName>
    <definedName name="_xlnm.Print_Area" localSheetId="18">Tabelle_8!$A$1:$F$228</definedName>
    <definedName name="_xlnm.Print_Area" localSheetId="19">Tabelle_9!$A$1:$F$181</definedName>
    <definedName name="_xlnm.Print_Area" localSheetId="0">'Übersicht 1'!$A$1:$G$17</definedName>
    <definedName name="_xlnm.Print_Area" localSheetId="1">'Übersicht 2'!$A$1:$K$20</definedName>
    <definedName name="_xlnm.Print_Area" localSheetId="5">'Übersicht 4'!$A$1:$T$72,'Übersicht 4'!$A$74:$Q$146</definedName>
    <definedName name="_xlnm.Print_Area" localSheetId="11">Übersicht_10!$A$2:$N$31,Übersicht_10!$A$33:$N$62,Übersicht_10!$A$64:$N$82</definedName>
    <definedName name="_xlnm.Print_Area" localSheetId="2">Übersicht_3_1!$B$1:$H$15</definedName>
    <definedName name="_xlnm.Print_Area" localSheetId="3">Übersicht_3_2!$A$1:$H$19</definedName>
    <definedName name="_xlnm.Print_Area" localSheetId="4">Übersicht_3_3_und_3_4!$A$2:$G$71,Übersicht_3_3_und_3_4!$A$73:$G$146</definedName>
    <definedName name="_xlnm.Print_Area" localSheetId="6">'UEBERS 5'!$A$2:$I$78,'UEBERS 5'!$A$80:$I$154</definedName>
    <definedName name="_xlnm.Print_Area" localSheetId="8">'UEBERS 7'!$A$2:$I$79,'UEBERS 7'!$A$81:$I$156</definedName>
    <definedName name="_xlnm.Print_Area" localSheetId="7">UEBERS6!$A$2:$K$113</definedName>
    <definedName name="_xlnm.Print_Area" localSheetId="9">UEBERS8!$A$1:$K$113</definedName>
    <definedName name="_xlnm.Print_Area" localSheetId="10">UEBERS9!$A$1:$K$105</definedName>
    <definedName name="Seite1" localSheetId="13">'[1]TABELLE 1 und TABELLE 2'!#REF!</definedName>
    <definedName name="Seite1">'TABELLE 1 und TABELLE 2'!#REF!</definedName>
    <definedName name="Seite2" localSheetId="13">'[1]TABELLE 1 und TABELLE 2'!#REF!</definedName>
    <definedName name="Seite2">'TABELLE 1 und TABELLE 2'!#REF!</definedName>
    <definedName name="Seite3" localSheetId="13">'[1]TABELLE 1 und TABELLE 2'!#REF!</definedName>
    <definedName name="Seite3">'TABELLE 1 und TABELLE 2'!#REF!</definedName>
  </definedNames>
  <calcPr calcId="162913"/>
</workbook>
</file>

<file path=xl/calcChain.xml><?xml version="1.0" encoding="utf-8"?>
<calcChain xmlns="http://schemas.openxmlformats.org/spreadsheetml/2006/main">
  <c r="M7" i="22" l="1"/>
  <c r="L7" i="22"/>
  <c r="K7" i="22"/>
  <c r="I7" i="22"/>
  <c r="H7" i="22"/>
  <c r="G7" i="22"/>
  <c r="F7" i="22"/>
  <c r="E7" i="22"/>
  <c r="D7" i="22"/>
  <c r="C7" i="22"/>
  <c r="B7" i="22"/>
  <c r="D57" i="19"/>
  <c r="B55" i="19"/>
  <c r="D55" i="19" s="1"/>
  <c r="B54" i="19"/>
  <c r="D54" i="19" s="1"/>
  <c r="B53" i="19"/>
  <c r="D53" i="19" s="1"/>
  <c r="B52" i="19"/>
  <c r="D52" i="19" s="1"/>
  <c r="B51" i="19"/>
  <c r="D51" i="19" s="1"/>
  <c r="B50" i="19"/>
  <c r="D50" i="19" s="1"/>
  <c r="B49" i="19"/>
  <c r="D49" i="19" s="1"/>
  <c r="B48" i="19"/>
  <c r="D48" i="19" s="1"/>
  <c r="B46" i="19"/>
  <c r="D46" i="19" s="1"/>
  <c r="B45" i="19"/>
  <c r="D45" i="19" s="1"/>
  <c r="G34" i="19"/>
  <c r="D34" i="19"/>
  <c r="G33" i="19"/>
  <c r="D33" i="19"/>
  <c r="G32" i="19"/>
  <c r="D32" i="19"/>
  <c r="G31" i="19"/>
  <c r="D31" i="19"/>
  <c r="G30" i="19"/>
  <c r="D30" i="19"/>
  <c r="G29" i="19"/>
  <c r="D29" i="19"/>
  <c r="G27" i="19"/>
  <c r="D27" i="19"/>
  <c r="G26" i="19"/>
  <c r="D26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9" i="19"/>
  <c r="D9" i="19"/>
  <c r="G8" i="19"/>
  <c r="D8" i="19"/>
  <c r="F27" i="18"/>
  <c r="E27" i="18"/>
  <c r="D27" i="18"/>
  <c r="C27" i="18"/>
  <c r="B25" i="18"/>
  <c r="B24" i="18"/>
  <c r="B23" i="18"/>
  <c r="F9" i="18"/>
  <c r="E9" i="18"/>
  <c r="D9" i="18"/>
  <c r="C9" i="18"/>
  <c r="B7" i="18"/>
  <c r="B6" i="18"/>
  <c r="B5" i="18"/>
  <c r="E166" i="17"/>
  <c r="C163" i="17"/>
  <c r="B163" i="17"/>
  <c r="C162" i="17"/>
  <c r="C48" i="17" s="1"/>
  <c r="B162" i="17"/>
  <c r="C161" i="17"/>
  <c r="B161" i="17"/>
  <c r="C160" i="17"/>
  <c r="C46" i="17" s="1"/>
  <c r="B160" i="17"/>
  <c r="C159" i="17"/>
  <c r="B159" i="17"/>
  <c r="C158" i="17"/>
  <c r="C44" i="17" s="1"/>
  <c r="B158" i="17"/>
  <c r="C157" i="17"/>
  <c r="B157" i="17"/>
  <c r="C156" i="17"/>
  <c r="C42" i="17" s="1"/>
  <c r="B156" i="17"/>
  <c r="C155" i="17"/>
  <c r="B155" i="17"/>
  <c r="C154" i="17"/>
  <c r="C40" i="17" s="1"/>
  <c r="B154" i="17"/>
  <c r="I148" i="17"/>
  <c r="E148" i="17"/>
  <c r="G146" i="17"/>
  <c r="G33" i="17" s="1"/>
  <c r="F146" i="17"/>
  <c r="C146" i="17"/>
  <c r="B146" i="17"/>
  <c r="I145" i="17"/>
  <c r="I32" i="17" s="1"/>
  <c r="E145" i="17"/>
  <c r="I144" i="17"/>
  <c r="E144" i="17"/>
  <c r="I143" i="17"/>
  <c r="I30" i="17" s="1"/>
  <c r="E143" i="17"/>
  <c r="I142" i="17"/>
  <c r="E142" i="17"/>
  <c r="I141" i="17"/>
  <c r="I28" i="17" s="1"/>
  <c r="E141" i="17"/>
  <c r="I140" i="17"/>
  <c r="E140" i="17"/>
  <c r="I139" i="17"/>
  <c r="I26" i="17" s="1"/>
  <c r="E139" i="17"/>
  <c r="I138" i="17"/>
  <c r="E138" i="17"/>
  <c r="I137" i="17"/>
  <c r="I24" i="17" s="1"/>
  <c r="E137" i="17"/>
  <c r="I136" i="17"/>
  <c r="E136" i="17"/>
  <c r="I131" i="17"/>
  <c r="I18" i="17" s="1"/>
  <c r="E131" i="17"/>
  <c r="G129" i="17"/>
  <c r="F129" i="17"/>
  <c r="I129" i="17" s="1"/>
  <c r="E129" i="17"/>
  <c r="B129" i="17"/>
  <c r="I128" i="17"/>
  <c r="E128" i="17"/>
  <c r="E163" i="17" s="1"/>
  <c r="I127" i="17"/>
  <c r="E127" i="17"/>
  <c r="I126" i="17"/>
  <c r="E126" i="17"/>
  <c r="E161" i="17" s="1"/>
  <c r="I125" i="17"/>
  <c r="E125" i="17"/>
  <c r="I124" i="17"/>
  <c r="E124" i="17"/>
  <c r="E159" i="17" s="1"/>
  <c r="I123" i="17"/>
  <c r="E123" i="17"/>
  <c r="I122" i="17"/>
  <c r="E122" i="17"/>
  <c r="E157" i="17" s="1"/>
  <c r="I121" i="17"/>
  <c r="E121" i="17"/>
  <c r="I120" i="17"/>
  <c r="E120" i="17"/>
  <c r="E155" i="17" s="1"/>
  <c r="I119" i="17"/>
  <c r="E119" i="17"/>
  <c r="C109" i="17"/>
  <c r="C106" i="17"/>
  <c r="C49" i="17" s="1"/>
  <c r="B106" i="17"/>
  <c r="B49" i="17" s="1"/>
  <c r="C105" i="17"/>
  <c r="B105" i="17"/>
  <c r="C104" i="17"/>
  <c r="C47" i="17" s="1"/>
  <c r="B104" i="17"/>
  <c r="B47" i="17" s="1"/>
  <c r="C103" i="17"/>
  <c r="B103" i="17"/>
  <c r="C102" i="17"/>
  <c r="C45" i="17" s="1"/>
  <c r="B102" i="17"/>
  <c r="B45" i="17" s="1"/>
  <c r="C101" i="17"/>
  <c r="B101" i="17"/>
  <c r="C100" i="17"/>
  <c r="C43" i="17" s="1"/>
  <c r="B100" i="17"/>
  <c r="B43" i="17" s="1"/>
  <c r="C99" i="17"/>
  <c r="B99" i="17"/>
  <c r="C98" i="17"/>
  <c r="C41" i="17" s="1"/>
  <c r="B98" i="17"/>
  <c r="B41" i="17" s="1"/>
  <c r="C97" i="17"/>
  <c r="B97" i="17"/>
  <c r="I91" i="17"/>
  <c r="I35" i="17" s="1"/>
  <c r="E91" i="17"/>
  <c r="I89" i="17"/>
  <c r="F89" i="17"/>
  <c r="C89" i="17"/>
  <c r="C107" i="17" s="1"/>
  <c r="B89" i="17"/>
  <c r="B33" i="17" s="1"/>
  <c r="I88" i="17"/>
  <c r="E88" i="17"/>
  <c r="I87" i="17"/>
  <c r="I31" i="17" s="1"/>
  <c r="E87" i="17"/>
  <c r="I86" i="17"/>
  <c r="E86" i="17"/>
  <c r="I85" i="17"/>
  <c r="I29" i="17" s="1"/>
  <c r="E85" i="17"/>
  <c r="I84" i="17"/>
  <c r="E84" i="17"/>
  <c r="I83" i="17"/>
  <c r="I27" i="17" s="1"/>
  <c r="E83" i="17"/>
  <c r="I82" i="17"/>
  <c r="E82" i="17"/>
  <c r="I81" i="17"/>
  <c r="I25" i="17" s="1"/>
  <c r="E81" i="17"/>
  <c r="I80" i="17"/>
  <c r="E80" i="17"/>
  <c r="I79" i="17"/>
  <c r="I23" i="17" s="1"/>
  <c r="E79" i="17"/>
  <c r="I74" i="17"/>
  <c r="E74" i="17"/>
  <c r="F72" i="17"/>
  <c r="F16" i="17" s="1"/>
  <c r="E72" i="17"/>
  <c r="E16" i="17" s="1"/>
  <c r="I71" i="17"/>
  <c r="E71" i="17"/>
  <c r="I70" i="17"/>
  <c r="E70" i="17"/>
  <c r="E14" i="17" s="1"/>
  <c r="I69" i="17"/>
  <c r="E69" i="17"/>
  <c r="I68" i="17"/>
  <c r="E68" i="17"/>
  <c r="I67" i="17"/>
  <c r="E67" i="17"/>
  <c r="I66" i="17"/>
  <c r="E66" i="17"/>
  <c r="I65" i="17"/>
  <c r="E65" i="17"/>
  <c r="I64" i="17"/>
  <c r="E64" i="17"/>
  <c r="I63" i="17"/>
  <c r="E63" i="17"/>
  <c r="I62" i="17"/>
  <c r="E62" i="17"/>
  <c r="E52" i="17"/>
  <c r="C52" i="17"/>
  <c r="B52" i="17"/>
  <c r="B48" i="17"/>
  <c r="B46" i="17"/>
  <c r="B44" i="17"/>
  <c r="B42" i="17"/>
  <c r="B40" i="17"/>
  <c r="G35" i="17"/>
  <c r="F35" i="17"/>
  <c r="E35" i="17"/>
  <c r="C35" i="17"/>
  <c r="B35" i="17"/>
  <c r="F33" i="17"/>
  <c r="G32" i="17"/>
  <c r="F32" i="17"/>
  <c r="E32" i="17"/>
  <c r="C32" i="17"/>
  <c r="B32" i="17"/>
  <c r="G31" i="17"/>
  <c r="F31" i="17"/>
  <c r="E31" i="17"/>
  <c r="C31" i="17"/>
  <c r="B31" i="17"/>
  <c r="G30" i="17"/>
  <c r="F30" i="17"/>
  <c r="E30" i="17"/>
  <c r="C30" i="17"/>
  <c r="B30" i="17"/>
  <c r="G29" i="17"/>
  <c r="F29" i="17"/>
  <c r="E29" i="17"/>
  <c r="C29" i="17"/>
  <c r="B29" i="17"/>
  <c r="G28" i="17"/>
  <c r="F28" i="17"/>
  <c r="E28" i="17"/>
  <c r="C28" i="17"/>
  <c r="B28" i="17"/>
  <c r="G27" i="17"/>
  <c r="F27" i="17"/>
  <c r="E27" i="17"/>
  <c r="C27" i="17"/>
  <c r="B27" i="17"/>
  <c r="G26" i="17"/>
  <c r="F26" i="17"/>
  <c r="E26" i="17"/>
  <c r="C26" i="17"/>
  <c r="B26" i="17"/>
  <c r="G25" i="17"/>
  <c r="F25" i="17"/>
  <c r="E25" i="17"/>
  <c r="C25" i="17"/>
  <c r="B25" i="17"/>
  <c r="G24" i="17"/>
  <c r="F24" i="17"/>
  <c r="E24" i="17"/>
  <c r="C24" i="17"/>
  <c r="B24" i="17"/>
  <c r="G23" i="17"/>
  <c r="F23" i="17"/>
  <c r="E23" i="17"/>
  <c r="C23" i="17"/>
  <c r="B23" i="17"/>
  <c r="G18" i="17"/>
  <c r="F18" i="17"/>
  <c r="E18" i="17"/>
  <c r="C18" i="17"/>
  <c r="B18" i="17"/>
  <c r="G16" i="17"/>
  <c r="C16" i="17"/>
  <c r="B16" i="17"/>
  <c r="I15" i="17"/>
  <c r="G15" i="17"/>
  <c r="F15" i="17"/>
  <c r="C15" i="17"/>
  <c r="B15" i="17"/>
  <c r="I14" i="17"/>
  <c r="G14" i="17"/>
  <c r="F14" i="17"/>
  <c r="C14" i="17"/>
  <c r="B14" i="17"/>
  <c r="I13" i="17"/>
  <c r="G13" i="17"/>
  <c r="F13" i="17"/>
  <c r="C13" i="17"/>
  <c r="B13" i="17"/>
  <c r="I12" i="17"/>
  <c r="G12" i="17"/>
  <c r="F12" i="17"/>
  <c r="C12" i="17"/>
  <c r="B12" i="17"/>
  <c r="I11" i="17"/>
  <c r="G11" i="17"/>
  <c r="F11" i="17"/>
  <c r="C11" i="17"/>
  <c r="B11" i="17"/>
  <c r="I10" i="17"/>
  <c r="G10" i="17"/>
  <c r="F10" i="17"/>
  <c r="C10" i="17"/>
  <c r="B10" i="17"/>
  <c r="I9" i="17"/>
  <c r="G9" i="17"/>
  <c r="F9" i="17"/>
  <c r="C9" i="17"/>
  <c r="B9" i="17"/>
  <c r="I8" i="17"/>
  <c r="G8" i="17"/>
  <c r="F8" i="17"/>
  <c r="C8" i="17"/>
  <c r="B8" i="17"/>
  <c r="I7" i="17"/>
  <c r="G7" i="17"/>
  <c r="F7" i="17"/>
  <c r="C7" i="17"/>
  <c r="B7" i="17"/>
  <c r="I6" i="17"/>
  <c r="G6" i="17"/>
  <c r="F6" i="17"/>
  <c r="C6" i="17"/>
  <c r="B6" i="17"/>
  <c r="F11" i="16"/>
  <c r="E11" i="16"/>
  <c r="D11" i="16"/>
  <c r="C11" i="16"/>
  <c r="G10" i="16"/>
  <c r="G9" i="16"/>
  <c r="G8" i="16"/>
  <c r="G7" i="16"/>
  <c r="G6" i="16"/>
  <c r="N9" i="15"/>
  <c r="N10" i="15" s="1"/>
  <c r="M9" i="15"/>
  <c r="M10" i="15" s="1"/>
  <c r="L9" i="15"/>
  <c r="L10" i="15" s="1"/>
  <c r="K9" i="15"/>
  <c r="K10" i="15" s="1"/>
  <c r="J9" i="15"/>
  <c r="J10" i="15" s="1"/>
  <c r="I9" i="15"/>
  <c r="I10" i="15" s="1"/>
  <c r="H9" i="15"/>
  <c r="H10" i="15" s="1"/>
  <c r="G9" i="15"/>
  <c r="G10" i="15" s="1"/>
  <c r="F9" i="15"/>
  <c r="F10" i="15" s="1"/>
  <c r="E9" i="15"/>
  <c r="E10" i="15" s="1"/>
  <c r="D9" i="15"/>
  <c r="D10" i="15" s="1"/>
  <c r="C5" i="15"/>
  <c r="C9" i="15" s="1"/>
  <c r="C10" i="15" s="1"/>
  <c r="G72" i="14"/>
  <c r="C71" i="14"/>
  <c r="C70" i="14"/>
  <c r="F69" i="14"/>
  <c r="E69" i="14"/>
  <c r="C69" i="14"/>
  <c r="F66" i="14"/>
  <c r="E66" i="14"/>
  <c r="C66" i="14"/>
  <c r="F63" i="14"/>
  <c r="E63" i="14"/>
  <c r="C63" i="14"/>
  <c r="G62" i="14"/>
  <c r="D62" i="14"/>
  <c r="G61" i="14"/>
  <c r="G63" i="14" s="1"/>
  <c r="D61" i="14"/>
  <c r="G60" i="14"/>
  <c r="F60" i="14"/>
  <c r="E60" i="14"/>
  <c r="C60" i="14"/>
  <c r="G57" i="14"/>
  <c r="F57" i="14"/>
  <c r="E57" i="14"/>
  <c r="D57" i="14"/>
  <c r="C57" i="14"/>
  <c r="F54" i="14"/>
  <c r="E54" i="14"/>
  <c r="C54" i="14"/>
  <c r="C51" i="14"/>
  <c r="C48" i="14"/>
  <c r="G47" i="14"/>
  <c r="F47" i="14"/>
  <c r="E47" i="14"/>
  <c r="D47" i="14"/>
  <c r="G46" i="14"/>
  <c r="F46" i="14"/>
  <c r="E46" i="14"/>
  <c r="D46" i="14"/>
  <c r="F31" i="14"/>
  <c r="F38" i="14" s="1"/>
  <c r="E31" i="14"/>
  <c r="E38" i="14" s="1"/>
  <c r="D31" i="14"/>
  <c r="D38" i="14" s="1"/>
  <c r="C31" i="14"/>
  <c r="C38" i="14" s="1"/>
  <c r="B31" i="14"/>
  <c r="F97" i="12"/>
  <c r="F95" i="12"/>
  <c r="F94" i="12"/>
  <c r="F93" i="12"/>
  <c r="F92" i="12"/>
  <c r="F91" i="12"/>
  <c r="F90" i="12"/>
  <c r="F89" i="12"/>
  <c r="F88" i="12"/>
  <c r="F85" i="12"/>
  <c r="F84" i="12"/>
  <c r="G78" i="12"/>
  <c r="G76" i="12"/>
  <c r="G74" i="12"/>
  <c r="I71" i="12"/>
  <c r="G70" i="12"/>
  <c r="G69" i="12"/>
  <c r="G68" i="12"/>
  <c r="G67" i="12"/>
  <c r="G66" i="12"/>
  <c r="G64" i="12"/>
  <c r="B63" i="12"/>
  <c r="G63" i="12" s="1"/>
  <c r="G61" i="12"/>
  <c r="I60" i="12"/>
  <c r="G60" i="12"/>
  <c r="K54" i="12"/>
  <c r="K52" i="12"/>
  <c r="I76" i="12" s="1"/>
  <c r="K50" i="12"/>
  <c r="I74" i="12" s="1"/>
  <c r="F87" i="12"/>
  <c r="F86" i="12"/>
  <c r="K46" i="12"/>
  <c r="I70" i="12" s="1"/>
  <c r="C45" i="12"/>
  <c r="K45" i="12" s="1"/>
  <c r="I69" i="12" s="1"/>
  <c r="K44" i="12"/>
  <c r="I68" i="12" s="1"/>
  <c r="K43" i="12"/>
  <c r="I67" i="12" s="1"/>
  <c r="C42" i="12"/>
  <c r="K42" i="12" s="1"/>
  <c r="I66" i="12" s="1"/>
  <c r="K40" i="12"/>
  <c r="I64" i="12" s="1"/>
  <c r="C39" i="12"/>
  <c r="B39" i="12"/>
  <c r="K39" i="12" s="1"/>
  <c r="K38" i="12"/>
  <c r="I62" i="12" s="1"/>
  <c r="K37" i="12"/>
  <c r="K36" i="12"/>
  <c r="K34" i="12"/>
  <c r="K33" i="12"/>
  <c r="K32" i="12"/>
  <c r="K31" i="12"/>
  <c r="K29" i="12"/>
  <c r="K28" i="12"/>
  <c r="K27" i="12"/>
  <c r="K25" i="12"/>
  <c r="K24" i="12"/>
  <c r="K22" i="12"/>
  <c r="K21" i="12"/>
  <c r="K20" i="12"/>
  <c r="K19" i="12"/>
  <c r="K18" i="12"/>
  <c r="K16" i="12"/>
  <c r="K15" i="12"/>
  <c r="K14" i="12"/>
  <c r="K13" i="12"/>
  <c r="K12" i="12"/>
  <c r="K10" i="12"/>
  <c r="K9" i="12"/>
  <c r="K8" i="12"/>
  <c r="K7" i="12"/>
  <c r="K6" i="12"/>
  <c r="F102" i="11"/>
  <c r="E99" i="11"/>
  <c r="D99" i="11"/>
  <c r="C99" i="11"/>
  <c r="E98" i="11"/>
  <c r="D98" i="11"/>
  <c r="C98" i="11"/>
  <c r="B98" i="11"/>
  <c r="E97" i="11"/>
  <c r="D97" i="11"/>
  <c r="C97" i="11"/>
  <c r="B97" i="11"/>
  <c r="E96" i="11"/>
  <c r="D96" i="11"/>
  <c r="C96" i="11"/>
  <c r="B96" i="11"/>
  <c r="E95" i="11"/>
  <c r="D95" i="11"/>
  <c r="C95" i="11"/>
  <c r="B95" i="11"/>
  <c r="E94" i="11"/>
  <c r="D94" i="11"/>
  <c r="C94" i="11"/>
  <c r="B94" i="11"/>
  <c r="E93" i="11"/>
  <c r="D93" i="11"/>
  <c r="C93" i="11"/>
  <c r="B93" i="11"/>
  <c r="E92" i="11"/>
  <c r="D92" i="11"/>
  <c r="C92" i="11"/>
  <c r="B92" i="11"/>
  <c r="E91" i="11"/>
  <c r="D91" i="11"/>
  <c r="C91" i="11"/>
  <c r="B91" i="11"/>
  <c r="E90" i="11"/>
  <c r="D90" i="11"/>
  <c r="C90" i="11"/>
  <c r="B90" i="11"/>
  <c r="D89" i="11"/>
  <c r="C89" i="11"/>
  <c r="B86" i="11"/>
  <c r="G84" i="11"/>
  <c r="F82" i="11"/>
  <c r="F86" i="11" s="1"/>
  <c r="D82" i="11"/>
  <c r="G81" i="11"/>
  <c r="G80" i="11"/>
  <c r="G79" i="11"/>
  <c r="G78" i="11"/>
  <c r="G72" i="11"/>
  <c r="B71" i="11"/>
  <c r="E89" i="11" s="1"/>
  <c r="G70" i="11"/>
  <c r="B68" i="11"/>
  <c r="G68" i="11" s="1"/>
  <c r="G66" i="11"/>
  <c r="B65" i="11"/>
  <c r="G65" i="11" s="1"/>
  <c r="I62" i="11"/>
  <c r="I60" i="11"/>
  <c r="E60" i="11"/>
  <c r="B60" i="11"/>
  <c r="K58" i="11"/>
  <c r="I84" i="11" s="1"/>
  <c r="H56" i="11"/>
  <c r="G56" i="11"/>
  <c r="F56" i="11"/>
  <c r="D56" i="11"/>
  <c r="D60" i="11" s="1"/>
  <c r="C56" i="11"/>
  <c r="C55" i="11"/>
  <c r="K55" i="11" s="1"/>
  <c r="K54" i="11"/>
  <c r="K53" i="11"/>
  <c r="K52" i="11"/>
  <c r="K46" i="11"/>
  <c r="I72" i="11" s="1"/>
  <c r="C45" i="11"/>
  <c r="B45" i="11"/>
  <c r="K44" i="11"/>
  <c r="C42" i="11"/>
  <c r="B42" i="11"/>
  <c r="K42" i="11" s="1"/>
  <c r="K40" i="11"/>
  <c r="I66" i="11" s="1"/>
  <c r="C39" i="11"/>
  <c r="B39" i="11"/>
  <c r="K37" i="11"/>
  <c r="K35" i="11"/>
  <c r="K34" i="11"/>
  <c r="K33" i="11"/>
  <c r="K32" i="11"/>
  <c r="K31" i="11"/>
  <c r="K29" i="11"/>
  <c r="K28" i="11"/>
  <c r="K27" i="11"/>
  <c r="K25" i="11"/>
  <c r="K24" i="11"/>
  <c r="K23" i="11"/>
  <c r="K21" i="11"/>
  <c r="K20" i="11"/>
  <c r="K19" i="11"/>
  <c r="K18" i="11"/>
  <c r="K17" i="11"/>
  <c r="J15" i="11"/>
  <c r="H15" i="11"/>
  <c r="G15" i="11"/>
  <c r="F15" i="11"/>
  <c r="E15" i="11"/>
  <c r="D15" i="11"/>
  <c r="C15" i="11"/>
  <c r="J14" i="11"/>
  <c r="H14" i="11"/>
  <c r="G14" i="11"/>
  <c r="F14" i="11"/>
  <c r="E14" i="11"/>
  <c r="D14" i="11"/>
  <c r="C14" i="11"/>
  <c r="J13" i="11"/>
  <c r="H13" i="11"/>
  <c r="G13" i="11"/>
  <c r="F13" i="11"/>
  <c r="E13" i="11"/>
  <c r="D13" i="11"/>
  <c r="K13" i="11" s="1"/>
  <c r="C13" i="11"/>
  <c r="J12" i="11"/>
  <c r="H12" i="11"/>
  <c r="G12" i="11"/>
  <c r="F12" i="11"/>
  <c r="E12" i="11"/>
  <c r="D12" i="11"/>
  <c r="C12" i="11"/>
  <c r="K11" i="11"/>
  <c r="K9" i="11"/>
  <c r="K8" i="11"/>
  <c r="K7" i="11"/>
  <c r="K6" i="11"/>
  <c r="H5" i="11"/>
  <c r="G5" i="11"/>
  <c r="F5" i="11"/>
  <c r="E5" i="11"/>
  <c r="D5" i="11"/>
  <c r="I145" i="10"/>
  <c r="E143" i="10"/>
  <c r="C143" i="10"/>
  <c r="I130" i="10"/>
  <c r="G128" i="10"/>
  <c r="E128" i="10"/>
  <c r="D128" i="10"/>
  <c r="I115" i="10"/>
  <c r="I113" i="10"/>
  <c r="I100" i="10"/>
  <c r="E98" i="10"/>
  <c r="C98" i="10"/>
  <c r="H75" i="10"/>
  <c r="G75" i="10"/>
  <c r="E75" i="10"/>
  <c r="D75" i="10"/>
  <c r="F102" i="9"/>
  <c r="F100" i="9"/>
  <c r="D99" i="9"/>
  <c r="E98" i="9"/>
  <c r="D98" i="9"/>
  <c r="C98" i="9"/>
  <c r="B98" i="9"/>
  <c r="E97" i="9"/>
  <c r="D97" i="9"/>
  <c r="C97" i="9"/>
  <c r="B97" i="9"/>
  <c r="E96" i="9"/>
  <c r="D96" i="9"/>
  <c r="C96" i="9"/>
  <c r="B96" i="9"/>
  <c r="E95" i="9"/>
  <c r="D95" i="9"/>
  <c r="C95" i="9"/>
  <c r="B95" i="9"/>
  <c r="E94" i="9"/>
  <c r="D94" i="9"/>
  <c r="C94" i="9"/>
  <c r="B94" i="9"/>
  <c r="E93" i="9"/>
  <c r="D93" i="9"/>
  <c r="C93" i="9"/>
  <c r="B93" i="9"/>
  <c r="E92" i="9"/>
  <c r="D92" i="9"/>
  <c r="C92" i="9"/>
  <c r="B92" i="9"/>
  <c r="E91" i="9"/>
  <c r="D91" i="9"/>
  <c r="C91" i="9"/>
  <c r="B91" i="9"/>
  <c r="E90" i="9"/>
  <c r="D90" i="9"/>
  <c r="C90" i="9"/>
  <c r="B90" i="9"/>
  <c r="E89" i="9"/>
  <c r="D89" i="9"/>
  <c r="C89" i="9"/>
  <c r="B89" i="9"/>
  <c r="F86" i="9"/>
  <c r="D86" i="9"/>
  <c r="B86" i="9"/>
  <c r="G84" i="9"/>
  <c r="G83" i="9"/>
  <c r="G82" i="9"/>
  <c r="D81" i="9"/>
  <c r="G81" i="9" s="1"/>
  <c r="G80" i="9"/>
  <c r="G79" i="9"/>
  <c r="G78" i="9"/>
  <c r="G77" i="9"/>
  <c r="G76" i="9"/>
  <c r="G75" i="9"/>
  <c r="G72" i="9"/>
  <c r="G71" i="9"/>
  <c r="G70" i="9"/>
  <c r="G69" i="9"/>
  <c r="G68" i="9"/>
  <c r="G67" i="9"/>
  <c r="G66" i="9"/>
  <c r="B65" i="9"/>
  <c r="G65" i="9" s="1"/>
  <c r="G64" i="9"/>
  <c r="I62" i="9"/>
  <c r="G62" i="9"/>
  <c r="I60" i="9"/>
  <c r="H60" i="9"/>
  <c r="G60" i="9"/>
  <c r="F60" i="9"/>
  <c r="D60" i="9"/>
  <c r="C60" i="9"/>
  <c r="B60" i="9"/>
  <c r="K58" i="9"/>
  <c r="K57" i="9"/>
  <c r="I83" i="9" s="1"/>
  <c r="E56" i="9"/>
  <c r="E60" i="9" s="1"/>
  <c r="E55" i="9"/>
  <c r="D55" i="9"/>
  <c r="C55" i="9"/>
  <c r="B99" i="9" s="1"/>
  <c r="K54" i="9"/>
  <c r="I80" i="9" s="1"/>
  <c r="K53" i="9"/>
  <c r="I79" i="9" s="1"/>
  <c r="K52" i="9"/>
  <c r="K51" i="9"/>
  <c r="K50" i="9"/>
  <c r="K49" i="9"/>
  <c r="K46" i="9"/>
  <c r="K45" i="9"/>
  <c r="K44" i="9"/>
  <c r="I70" i="9" s="1"/>
  <c r="K43" i="9"/>
  <c r="I69" i="9" s="1"/>
  <c r="K42" i="9"/>
  <c r="K41" i="9"/>
  <c r="K40" i="9"/>
  <c r="I66" i="9" s="1"/>
  <c r="C39" i="9"/>
  <c r="B39" i="9"/>
  <c r="K38" i="9"/>
  <c r="K37" i="9"/>
  <c r="K36" i="9"/>
  <c r="K35" i="9"/>
  <c r="K34" i="9"/>
  <c r="K33" i="9"/>
  <c r="K32" i="9"/>
  <c r="K31" i="9"/>
  <c r="K29" i="9"/>
  <c r="K28" i="9"/>
  <c r="K27" i="9"/>
  <c r="K25" i="9"/>
  <c r="K24" i="9"/>
  <c r="K23" i="9"/>
  <c r="C21" i="9"/>
  <c r="B21" i="9"/>
  <c r="C20" i="9"/>
  <c r="B20" i="9"/>
  <c r="K20" i="9" s="1"/>
  <c r="C19" i="9"/>
  <c r="B19" i="9"/>
  <c r="C18" i="9"/>
  <c r="B18" i="9"/>
  <c r="K18" i="9" s="1"/>
  <c r="C17" i="9"/>
  <c r="B17" i="9"/>
  <c r="K15" i="9"/>
  <c r="K14" i="9"/>
  <c r="K13" i="9"/>
  <c r="K12" i="9"/>
  <c r="K11" i="9"/>
  <c r="K9" i="9"/>
  <c r="K8" i="9"/>
  <c r="K7" i="9"/>
  <c r="K6" i="9"/>
  <c r="K5" i="9"/>
  <c r="I76" i="8"/>
  <c r="I74" i="8"/>
  <c r="I73" i="8"/>
  <c r="I72" i="8"/>
  <c r="I71" i="8"/>
  <c r="I70" i="8"/>
  <c r="I69" i="8"/>
  <c r="I68" i="8"/>
  <c r="I67" i="8"/>
  <c r="I64" i="8"/>
  <c r="G63" i="8"/>
  <c r="E63" i="8"/>
  <c r="D63" i="8"/>
  <c r="C63" i="8"/>
  <c r="B63" i="8"/>
  <c r="H58" i="8"/>
  <c r="G58" i="8"/>
  <c r="F58" i="8"/>
  <c r="E58" i="8"/>
  <c r="D58" i="8"/>
  <c r="I57" i="8"/>
  <c r="I56" i="8"/>
  <c r="I54" i="8"/>
  <c r="I52" i="8"/>
  <c r="I51" i="8"/>
  <c r="I50" i="8"/>
  <c r="I46" i="8"/>
  <c r="I44" i="8"/>
  <c r="I43" i="8"/>
  <c r="I42" i="8"/>
  <c r="I41" i="8"/>
  <c r="I39" i="8"/>
  <c r="I38" i="8"/>
  <c r="I37" i="8"/>
  <c r="I36" i="8"/>
  <c r="I35" i="8"/>
  <c r="I33" i="8"/>
  <c r="I32" i="8"/>
  <c r="I31" i="8"/>
  <c r="I30" i="8"/>
  <c r="I29" i="8"/>
  <c r="I27" i="8"/>
  <c r="N138" i="7"/>
  <c r="M136" i="7"/>
  <c r="H136" i="7"/>
  <c r="N135" i="7"/>
  <c r="Q135" i="7" s="1"/>
  <c r="M134" i="7"/>
  <c r="H134" i="7"/>
  <c r="M133" i="7"/>
  <c r="H133" i="7"/>
  <c r="M132" i="7"/>
  <c r="H132" i="7"/>
  <c r="M131" i="7"/>
  <c r="H131" i="7"/>
  <c r="M130" i="7"/>
  <c r="H130" i="7"/>
  <c r="M129" i="7"/>
  <c r="H129" i="7"/>
  <c r="M128" i="7"/>
  <c r="H128" i="7"/>
  <c r="N127" i="7"/>
  <c r="Q127" i="7" s="1"/>
  <c r="M126" i="7"/>
  <c r="H126" i="7"/>
  <c r="M125" i="7"/>
  <c r="H125" i="7"/>
  <c r="N123" i="7"/>
  <c r="Q123" i="7" s="1"/>
  <c r="M121" i="7"/>
  <c r="H121" i="7"/>
  <c r="N120" i="7"/>
  <c r="Q120" i="7" s="1"/>
  <c r="M119" i="7"/>
  <c r="H119" i="7"/>
  <c r="E119" i="7"/>
  <c r="M118" i="7"/>
  <c r="H118" i="7"/>
  <c r="E118" i="7"/>
  <c r="M117" i="7"/>
  <c r="H117" i="7"/>
  <c r="E117" i="7"/>
  <c r="M116" i="7"/>
  <c r="K116" i="7"/>
  <c r="I116" i="7"/>
  <c r="H116" i="7"/>
  <c r="E116" i="7"/>
  <c r="N116" i="7" s="1"/>
  <c r="M115" i="7"/>
  <c r="H115" i="7"/>
  <c r="E115" i="7"/>
  <c r="M114" i="7"/>
  <c r="L114" i="7"/>
  <c r="K114" i="7"/>
  <c r="J114" i="7"/>
  <c r="I114" i="7"/>
  <c r="H114" i="7"/>
  <c r="E114" i="7"/>
  <c r="M113" i="7"/>
  <c r="K113" i="7"/>
  <c r="I113" i="7"/>
  <c r="H113" i="7"/>
  <c r="E113" i="7"/>
  <c r="N112" i="7"/>
  <c r="P112" i="7" s="1"/>
  <c r="M111" i="7"/>
  <c r="K111" i="7"/>
  <c r="I111" i="7"/>
  <c r="H111" i="7"/>
  <c r="M110" i="7"/>
  <c r="H110" i="7"/>
  <c r="N108" i="7"/>
  <c r="P108" i="7" s="1"/>
  <c r="M106" i="7"/>
  <c r="H106" i="7"/>
  <c r="N105" i="7"/>
  <c r="P105" i="7" s="1"/>
  <c r="M104" i="7"/>
  <c r="H104" i="7"/>
  <c r="M103" i="7"/>
  <c r="H103" i="7"/>
  <c r="M102" i="7"/>
  <c r="H102" i="7"/>
  <c r="M101" i="7"/>
  <c r="H101" i="7"/>
  <c r="M100" i="7"/>
  <c r="H100" i="7"/>
  <c r="M99" i="7"/>
  <c r="L99" i="7"/>
  <c r="K99" i="7"/>
  <c r="J99" i="7"/>
  <c r="I99" i="7"/>
  <c r="H99" i="7"/>
  <c r="E99" i="7"/>
  <c r="M98" i="7"/>
  <c r="H98" i="7"/>
  <c r="N97" i="7"/>
  <c r="Q97" i="7" s="1"/>
  <c r="M96" i="7"/>
  <c r="H96" i="7"/>
  <c r="M95" i="7"/>
  <c r="K95" i="7"/>
  <c r="I95" i="7"/>
  <c r="H95" i="7"/>
  <c r="N93" i="7"/>
  <c r="Q93" i="7" s="1"/>
  <c r="M91" i="7"/>
  <c r="H91" i="7"/>
  <c r="N90" i="7"/>
  <c r="P90" i="7" s="1"/>
  <c r="M89" i="7"/>
  <c r="H89" i="7"/>
  <c r="E89" i="7"/>
  <c r="M88" i="7"/>
  <c r="H88" i="7"/>
  <c r="M87" i="7"/>
  <c r="H87" i="7"/>
  <c r="M86" i="7"/>
  <c r="H86" i="7"/>
  <c r="M85" i="7"/>
  <c r="M84" i="7"/>
  <c r="L84" i="7"/>
  <c r="K84" i="7"/>
  <c r="J84" i="7"/>
  <c r="I84" i="7"/>
  <c r="H84" i="7"/>
  <c r="E84" i="7"/>
  <c r="M83" i="7"/>
  <c r="H83" i="7"/>
  <c r="N82" i="7"/>
  <c r="Q82" i="7" s="1"/>
  <c r="M81" i="7"/>
  <c r="H81" i="7"/>
  <c r="M80" i="7"/>
  <c r="K80" i="7"/>
  <c r="I80" i="7"/>
  <c r="H80" i="7"/>
  <c r="N70" i="7"/>
  <c r="S70" i="7" s="1"/>
  <c r="M68" i="7"/>
  <c r="H68" i="7"/>
  <c r="N67" i="7"/>
  <c r="S67" i="7" s="1"/>
  <c r="L66" i="7"/>
  <c r="K66" i="7"/>
  <c r="M66" i="7" s="1"/>
  <c r="H66" i="7"/>
  <c r="N65" i="7"/>
  <c r="Q65" i="7" s="1"/>
  <c r="L64" i="7"/>
  <c r="K64" i="7"/>
  <c r="M64" i="7" s="1"/>
  <c r="H64" i="7"/>
  <c r="Q63" i="7"/>
  <c r="P63" i="7"/>
  <c r="O63" i="7"/>
  <c r="Q62" i="7"/>
  <c r="P62" i="7"/>
  <c r="O62" i="7"/>
  <c r="Q61" i="7"/>
  <c r="P61" i="7"/>
  <c r="O61" i="7"/>
  <c r="L59" i="7"/>
  <c r="K59" i="7"/>
  <c r="M59" i="7" s="1"/>
  <c r="H59" i="7"/>
  <c r="N58" i="7"/>
  <c r="Q58" i="7" s="1"/>
  <c r="L58" i="7"/>
  <c r="K58" i="7"/>
  <c r="N57" i="7"/>
  <c r="Q57" i="7" s="1"/>
  <c r="N56" i="7"/>
  <c r="T56" i="7" s="1"/>
  <c r="M56" i="7"/>
  <c r="H56" i="7"/>
  <c r="E56" i="7"/>
  <c r="N55" i="7"/>
  <c r="T55" i="7" s="1"/>
  <c r="M55" i="7"/>
  <c r="H55" i="7"/>
  <c r="E55" i="7"/>
  <c r="N54" i="7"/>
  <c r="T54" i="7" s="1"/>
  <c r="M54" i="7"/>
  <c r="H54" i="7"/>
  <c r="E54" i="7"/>
  <c r="N53" i="7"/>
  <c r="T53" i="7" s="1"/>
  <c r="M53" i="7"/>
  <c r="H53" i="7"/>
  <c r="E53" i="7"/>
  <c r="N52" i="7"/>
  <c r="T52" i="7" s="1"/>
  <c r="M52" i="7"/>
  <c r="H52" i="7"/>
  <c r="E52" i="7"/>
  <c r="N51" i="7"/>
  <c r="T51" i="7" s="1"/>
  <c r="M51" i="7"/>
  <c r="H51" i="7"/>
  <c r="E51" i="7"/>
  <c r="N50" i="7"/>
  <c r="T50" i="7" s="1"/>
  <c r="M50" i="7"/>
  <c r="H50" i="7"/>
  <c r="E50" i="7"/>
  <c r="N49" i="7"/>
  <c r="T49" i="7" s="1"/>
  <c r="M49" i="7"/>
  <c r="H49" i="7"/>
  <c r="E49" i="7"/>
  <c r="N48" i="7"/>
  <c r="T48" i="7" s="1"/>
  <c r="M48" i="7"/>
  <c r="H48" i="7"/>
  <c r="E48" i="7"/>
  <c r="M46" i="7"/>
  <c r="H46" i="7"/>
  <c r="E46" i="7"/>
  <c r="K44" i="7"/>
  <c r="M44" i="7" s="1"/>
  <c r="H44" i="7"/>
  <c r="E44" i="7"/>
  <c r="K43" i="7"/>
  <c r="M43" i="7" s="1"/>
  <c r="H43" i="7"/>
  <c r="E43" i="7"/>
  <c r="K42" i="7"/>
  <c r="M42" i="7" s="1"/>
  <c r="H42" i="7"/>
  <c r="E42" i="7"/>
  <c r="K41" i="7"/>
  <c r="M41" i="7" s="1"/>
  <c r="H41" i="7"/>
  <c r="E41" i="7"/>
  <c r="K39" i="7"/>
  <c r="M39" i="7" s="1"/>
  <c r="H39" i="7"/>
  <c r="E39" i="7"/>
  <c r="K38" i="7"/>
  <c r="M38" i="7" s="1"/>
  <c r="H38" i="7"/>
  <c r="E38" i="7"/>
  <c r="K37" i="7"/>
  <c r="M37" i="7" s="1"/>
  <c r="H37" i="7"/>
  <c r="E37" i="7"/>
  <c r="M36" i="7"/>
  <c r="H36" i="7"/>
  <c r="E36" i="7"/>
  <c r="M35" i="7"/>
  <c r="H35" i="7"/>
  <c r="E35" i="7"/>
  <c r="M33" i="7"/>
  <c r="H33" i="7"/>
  <c r="E33" i="7"/>
  <c r="M32" i="7"/>
  <c r="H32" i="7"/>
  <c r="E32" i="7"/>
  <c r="M31" i="7"/>
  <c r="H31" i="7"/>
  <c r="E31" i="7"/>
  <c r="M30" i="7"/>
  <c r="H30" i="7"/>
  <c r="E30" i="7"/>
  <c r="M29" i="7"/>
  <c r="H29" i="7"/>
  <c r="E29" i="7"/>
  <c r="M27" i="7"/>
  <c r="H27" i="7"/>
  <c r="E27" i="7"/>
  <c r="M26" i="7"/>
  <c r="H26" i="7"/>
  <c r="E26" i="7"/>
  <c r="M25" i="7"/>
  <c r="H25" i="7"/>
  <c r="E25" i="7"/>
  <c r="M24" i="7"/>
  <c r="H24" i="7"/>
  <c r="E24" i="7"/>
  <c r="M23" i="7"/>
  <c r="H23" i="7"/>
  <c r="E23" i="7"/>
  <c r="M22" i="7"/>
  <c r="H22" i="7"/>
  <c r="E22" i="7"/>
  <c r="M20" i="7"/>
  <c r="H20" i="7"/>
  <c r="E20" i="7"/>
  <c r="M19" i="7"/>
  <c r="H19" i="7"/>
  <c r="E19" i="7"/>
  <c r="M18" i="7"/>
  <c r="H18" i="7"/>
  <c r="E18" i="7"/>
  <c r="M16" i="7"/>
  <c r="H16" i="7"/>
  <c r="E16" i="7"/>
  <c r="M15" i="7"/>
  <c r="H15" i="7"/>
  <c r="E15" i="7"/>
  <c r="M14" i="7"/>
  <c r="H14" i="7"/>
  <c r="E14" i="7"/>
  <c r="M12" i="7"/>
  <c r="H12" i="7"/>
  <c r="E12" i="7"/>
  <c r="M11" i="7"/>
  <c r="H11" i="7"/>
  <c r="E11" i="7"/>
  <c r="M10" i="7"/>
  <c r="H10" i="7"/>
  <c r="E10" i="7"/>
  <c r="M9" i="7"/>
  <c r="H9" i="7"/>
  <c r="E9" i="7"/>
  <c r="M8" i="7"/>
  <c r="H8" i="7"/>
  <c r="E8" i="7"/>
  <c r="H10" i="5"/>
  <c r="F9" i="5"/>
  <c r="H9" i="5" s="1"/>
  <c r="F8" i="5"/>
  <c r="H8" i="5" s="1"/>
  <c r="F7" i="5"/>
  <c r="H7" i="5" s="1"/>
  <c r="E137" i="4"/>
  <c r="D135" i="4"/>
  <c r="C135" i="4"/>
  <c r="E134" i="4"/>
  <c r="E133" i="4"/>
  <c r="E132" i="4"/>
  <c r="E131" i="4"/>
  <c r="E130" i="4"/>
  <c r="E129" i="4"/>
  <c r="E128" i="4"/>
  <c r="E127" i="4"/>
  <c r="E126" i="4"/>
  <c r="E125" i="4"/>
  <c r="E124" i="4"/>
  <c r="F124" i="4" s="1"/>
  <c r="E122" i="4"/>
  <c r="D120" i="4"/>
  <c r="C120" i="4"/>
  <c r="E119" i="4"/>
  <c r="E118" i="4"/>
  <c r="E117" i="4"/>
  <c r="E116" i="4"/>
  <c r="E115" i="4"/>
  <c r="E114" i="4"/>
  <c r="E113" i="4"/>
  <c r="E112" i="4"/>
  <c r="E111" i="4"/>
  <c r="E110" i="4"/>
  <c r="E109" i="4"/>
  <c r="F109" i="4" s="1"/>
  <c r="E107" i="4"/>
  <c r="D105" i="4"/>
  <c r="E105" i="4" s="1"/>
  <c r="F104" i="4"/>
  <c r="E104" i="4"/>
  <c r="E103" i="4"/>
  <c r="F103" i="4" s="1"/>
  <c r="F102" i="4"/>
  <c r="E102" i="4"/>
  <c r="E101" i="4"/>
  <c r="F101" i="4" s="1"/>
  <c r="F100" i="4"/>
  <c r="E100" i="4"/>
  <c r="E99" i="4"/>
  <c r="F99" i="4" s="1"/>
  <c r="F98" i="4"/>
  <c r="E98" i="4"/>
  <c r="E97" i="4"/>
  <c r="F97" i="4" s="1"/>
  <c r="F96" i="4"/>
  <c r="E96" i="4"/>
  <c r="E95" i="4"/>
  <c r="F95" i="4" s="1"/>
  <c r="F94" i="4"/>
  <c r="E94" i="4"/>
  <c r="E92" i="4"/>
  <c r="F92" i="4" s="1"/>
  <c r="D90" i="4"/>
  <c r="E89" i="4"/>
  <c r="E88" i="4"/>
  <c r="E87" i="4"/>
  <c r="E86" i="4"/>
  <c r="E85" i="4"/>
  <c r="E84" i="4"/>
  <c r="E83" i="4"/>
  <c r="E82" i="4"/>
  <c r="E81" i="4"/>
  <c r="E80" i="4"/>
  <c r="E79" i="4"/>
  <c r="F79" i="4" s="1"/>
  <c r="G69" i="4"/>
  <c r="F69" i="4"/>
  <c r="F68" i="4"/>
  <c r="G68" i="4" s="1"/>
  <c r="F67" i="4"/>
  <c r="G67" i="4" s="1"/>
  <c r="G66" i="4"/>
  <c r="F66" i="4"/>
  <c r="F65" i="4"/>
  <c r="G65" i="4" s="1"/>
  <c r="G64" i="4"/>
  <c r="F64" i="4"/>
  <c r="F63" i="4"/>
  <c r="G63" i="4" s="1"/>
  <c r="G62" i="4"/>
  <c r="F62" i="4"/>
  <c r="F61" i="4"/>
  <c r="G61" i="4" s="1"/>
  <c r="G60" i="4"/>
  <c r="F60" i="4"/>
  <c r="E59" i="4"/>
  <c r="C59" i="4"/>
  <c r="F59" i="4" s="1"/>
  <c r="E58" i="4"/>
  <c r="D58" i="4"/>
  <c r="F58" i="4" s="1"/>
  <c r="G58" i="4" s="1"/>
  <c r="C58" i="4"/>
  <c r="E57" i="4"/>
  <c r="C57" i="4"/>
  <c r="F57" i="4" s="1"/>
  <c r="G57" i="4" s="1"/>
  <c r="E56" i="4"/>
  <c r="C56" i="4"/>
  <c r="F55" i="4"/>
  <c r="G55" i="4" s="1"/>
  <c r="D54" i="4"/>
  <c r="F54" i="4" s="1"/>
  <c r="G54" i="4" s="1"/>
  <c r="G53" i="4"/>
  <c r="F53" i="4"/>
  <c r="F52" i="4"/>
  <c r="G52" i="4" s="1"/>
  <c r="G51" i="4"/>
  <c r="G50" i="4"/>
  <c r="G49" i="4"/>
  <c r="F45" i="4"/>
  <c r="G45" i="4" s="1"/>
  <c r="G43" i="4"/>
  <c r="F43" i="4"/>
  <c r="F42" i="4"/>
  <c r="G42" i="4" s="1"/>
  <c r="G41" i="4"/>
  <c r="F41" i="4"/>
  <c r="F40" i="4"/>
  <c r="G40" i="4" s="1"/>
  <c r="G38" i="4"/>
  <c r="F38" i="4"/>
  <c r="F37" i="4"/>
  <c r="G37" i="4" s="1"/>
  <c r="G36" i="4"/>
  <c r="F36" i="4"/>
  <c r="F35" i="4"/>
  <c r="G35" i="4" s="1"/>
  <c r="G34" i="4"/>
  <c r="F34" i="4"/>
  <c r="F32" i="4"/>
  <c r="G32" i="4" s="1"/>
  <c r="G31" i="4"/>
  <c r="F31" i="4"/>
  <c r="F30" i="4"/>
  <c r="G30" i="4" s="1"/>
  <c r="G29" i="4"/>
  <c r="F29" i="4"/>
  <c r="F27" i="4"/>
  <c r="G27" i="4" s="1"/>
  <c r="G26" i="4"/>
  <c r="F25" i="4"/>
  <c r="G25" i="4" s="1"/>
  <c r="F24" i="4"/>
  <c r="G24" i="4" s="1"/>
  <c r="F23" i="4"/>
  <c r="G23" i="4" s="1"/>
  <c r="F22" i="4"/>
  <c r="G22" i="4" s="1"/>
  <c r="F20" i="4"/>
  <c r="G20" i="4" s="1"/>
  <c r="F19" i="4"/>
  <c r="G19" i="4" s="1"/>
  <c r="F18" i="4"/>
  <c r="G18" i="4" s="1"/>
  <c r="F16" i="4"/>
  <c r="G16" i="4" s="1"/>
  <c r="F15" i="4"/>
  <c r="G15" i="4" s="1"/>
  <c r="F14" i="4"/>
  <c r="G14" i="4" s="1"/>
  <c r="F12" i="4"/>
  <c r="G12" i="4" s="1"/>
  <c r="F11" i="4"/>
  <c r="G11" i="4" s="1"/>
  <c r="F10" i="4"/>
  <c r="G10" i="4" s="1"/>
  <c r="F9" i="4"/>
  <c r="G9" i="4" s="1"/>
  <c r="K19" i="2"/>
  <c r="I19" i="2"/>
  <c r="H19" i="2"/>
  <c r="G19" i="2"/>
  <c r="F19" i="2"/>
  <c r="E19" i="2"/>
  <c r="D19" i="2"/>
  <c r="C19" i="2"/>
  <c r="J17" i="2"/>
  <c r="I18" i="2" s="1"/>
  <c r="J15" i="2"/>
  <c r="I16" i="2" s="1"/>
  <c r="K11" i="2"/>
  <c r="H11" i="2"/>
  <c r="G11" i="2"/>
  <c r="F11" i="2"/>
  <c r="E11" i="2"/>
  <c r="C11" i="2"/>
  <c r="I9" i="2"/>
  <c r="I11" i="2" s="1"/>
  <c r="D9" i="2"/>
  <c r="D11" i="2" s="1"/>
  <c r="J7" i="2"/>
  <c r="D15" i="1"/>
  <c r="D16" i="1" s="1"/>
  <c r="F14" i="1"/>
  <c r="D14" i="1"/>
  <c r="D12" i="1"/>
  <c r="F11" i="1"/>
  <c r="E11" i="1"/>
  <c r="E10" i="1"/>
  <c r="E9" i="1"/>
  <c r="F8" i="1"/>
  <c r="G10" i="1" s="1"/>
  <c r="E6" i="1"/>
  <c r="E5" i="1"/>
  <c r="F4" i="1"/>
  <c r="F12" i="1" s="1"/>
  <c r="F56" i="4" l="1"/>
  <c r="G56" i="4" s="1"/>
  <c r="K17" i="9"/>
  <c r="K19" i="9"/>
  <c r="K21" i="9"/>
  <c r="K39" i="9"/>
  <c r="I65" i="9" s="1"/>
  <c r="I68" i="9"/>
  <c r="I72" i="9"/>
  <c r="I78" i="9"/>
  <c r="K55" i="9"/>
  <c r="I81" i="9" s="1"/>
  <c r="I84" i="9"/>
  <c r="K5" i="11"/>
  <c r="K15" i="11"/>
  <c r="I70" i="11"/>
  <c r="I78" i="11"/>
  <c r="E7" i="17"/>
  <c r="E9" i="17"/>
  <c r="E11" i="17"/>
  <c r="E13" i="17"/>
  <c r="E15" i="17"/>
  <c r="C33" i="17"/>
  <c r="E97" i="17"/>
  <c r="E99" i="17"/>
  <c r="E101" i="17"/>
  <c r="E103" i="17"/>
  <c r="E46" i="17" s="1"/>
  <c r="H10" i="2"/>
  <c r="G11" i="1"/>
  <c r="G10" i="2"/>
  <c r="N9" i="7"/>
  <c r="O9" i="7" s="1"/>
  <c r="N14" i="7"/>
  <c r="N19" i="7"/>
  <c r="N114" i="7"/>
  <c r="F89" i="9"/>
  <c r="F90" i="9"/>
  <c r="F91" i="9"/>
  <c r="F92" i="9"/>
  <c r="F93" i="9"/>
  <c r="F94" i="9"/>
  <c r="F95" i="9"/>
  <c r="I128" i="10"/>
  <c r="I143" i="10"/>
  <c r="I78" i="12"/>
  <c r="E6" i="17"/>
  <c r="E8" i="17"/>
  <c r="E10" i="17"/>
  <c r="E12" i="17"/>
  <c r="E98" i="17"/>
  <c r="E41" i="17" s="1"/>
  <c r="E100" i="17"/>
  <c r="E43" i="17" s="1"/>
  <c r="E102" i="17"/>
  <c r="E45" i="17" s="1"/>
  <c r="E104" i="17"/>
  <c r="E47" i="17" s="1"/>
  <c r="C164" i="17"/>
  <c r="C50" i="17" s="1"/>
  <c r="G5" i="1"/>
  <c r="N11" i="7"/>
  <c r="N16" i="7"/>
  <c r="N22" i="7"/>
  <c r="P48" i="7"/>
  <c r="P49" i="7"/>
  <c r="P50" i="7"/>
  <c r="P51" i="7"/>
  <c r="P52" i="7"/>
  <c r="P53" i="7"/>
  <c r="P54" i="7"/>
  <c r="P56" i="7"/>
  <c r="N118" i="7"/>
  <c r="O118" i="7" s="1"/>
  <c r="I63" i="8"/>
  <c r="I71" i="9"/>
  <c r="D63" i="14"/>
  <c r="E154" i="17"/>
  <c r="E40" i="17" s="1"/>
  <c r="E156" i="17"/>
  <c r="E158" i="17"/>
  <c r="E160" i="17"/>
  <c r="E162" i="17"/>
  <c r="B164" i="17"/>
  <c r="B9" i="18"/>
  <c r="B27" i="18"/>
  <c r="E105" i="17"/>
  <c r="E48" i="17" s="1"/>
  <c r="E106" i="17"/>
  <c r="E49" i="17" s="1"/>
  <c r="E89" i="17"/>
  <c r="E42" i="17"/>
  <c r="E44" i="17"/>
  <c r="I72" i="17"/>
  <c r="I16" i="17" s="1"/>
  <c r="B107" i="17"/>
  <c r="I146" i="17"/>
  <c r="I33" i="17" s="1"/>
  <c r="E146" i="17"/>
  <c r="B38" i="14"/>
  <c r="D48" i="14"/>
  <c r="F48" i="14"/>
  <c r="D70" i="14"/>
  <c r="F70" i="14"/>
  <c r="E71" i="14"/>
  <c r="E48" i="14"/>
  <c r="G48" i="14"/>
  <c r="E70" i="14"/>
  <c r="D71" i="14"/>
  <c r="F71" i="14"/>
  <c r="C72" i="14"/>
  <c r="I63" i="12"/>
  <c r="F90" i="11"/>
  <c r="I68" i="11"/>
  <c r="K12" i="11"/>
  <c r="K14" i="11"/>
  <c r="K39" i="11"/>
  <c r="I65" i="11" s="1"/>
  <c r="K45" i="11"/>
  <c r="K56" i="11"/>
  <c r="C60" i="11"/>
  <c r="G60" i="11"/>
  <c r="G71" i="11"/>
  <c r="I71" i="11" s="1"/>
  <c r="D86" i="11"/>
  <c r="B89" i="11"/>
  <c r="F89" i="11" s="1"/>
  <c r="B99" i="11"/>
  <c r="B100" i="11"/>
  <c r="D100" i="11"/>
  <c r="F60" i="11"/>
  <c r="H60" i="11"/>
  <c r="G82" i="11"/>
  <c r="C100" i="11"/>
  <c r="I75" i="10"/>
  <c r="I98" i="10"/>
  <c r="K56" i="9"/>
  <c r="I82" i="9" s="1"/>
  <c r="F96" i="9"/>
  <c r="F97" i="9"/>
  <c r="F98" i="9"/>
  <c r="K60" i="9"/>
  <c r="C99" i="9"/>
  <c r="F99" i="9" s="1"/>
  <c r="I58" i="8"/>
  <c r="O56" i="7"/>
  <c r="O108" i="7"/>
  <c r="N37" i="7"/>
  <c r="O37" i="7" s="1"/>
  <c r="N38" i="7"/>
  <c r="O38" i="7" s="1"/>
  <c r="N39" i="7"/>
  <c r="O39" i="7" s="1"/>
  <c r="N41" i="7"/>
  <c r="O41" i="7" s="1"/>
  <c r="N42" i="7"/>
  <c r="O42" i="7" s="1"/>
  <c r="N43" i="7"/>
  <c r="O43" i="7" s="1"/>
  <c r="N44" i="7"/>
  <c r="O44" i="7" s="1"/>
  <c r="Q105" i="7"/>
  <c r="Q112" i="7"/>
  <c r="N24" i="7"/>
  <c r="Q24" i="7" s="1"/>
  <c r="N26" i="7"/>
  <c r="N29" i="7"/>
  <c r="N31" i="7"/>
  <c r="Q31" i="7" s="1"/>
  <c r="N33" i="7"/>
  <c r="Q33" i="7" s="1"/>
  <c r="N36" i="7"/>
  <c r="P39" i="7"/>
  <c r="P41" i="7"/>
  <c r="P44" i="7"/>
  <c r="O48" i="7"/>
  <c r="Q48" i="7"/>
  <c r="O49" i="7"/>
  <c r="Q49" i="7"/>
  <c r="O50" i="7"/>
  <c r="Q50" i="7"/>
  <c r="O51" i="7"/>
  <c r="Q51" i="7"/>
  <c r="O52" i="7"/>
  <c r="Q52" i="7"/>
  <c r="O53" i="7"/>
  <c r="Q53" i="7"/>
  <c r="O54" i="7"/>
  <c r="Q54" i="7"/>
  <c r="Q56" i="7"/>
  <c r="N59" i="7"/>
  <c r="N84" i="7"/>
  <c r="P84" i="7" s="1"/>
  <c r="N85" i="7"/>
  <c r="O85" i="7" s="1"/>
  <c r="P93" i="7"/>
  <c r="N99" i="7"/>
  <c r="P99" i="7" s="1"/>
  <c r="O105" i="7"/>
  <c r="Q108" i="7"/>
  <c r="O112" i="7"/>
  <c r="Q9" i="7"/>
  <c r="Q11" i="7"/>
  <c r="Q14" i="7"/>
  <c r="Q16" i="7"/>
  <c r="Q19" i="7"/>
  <c r="Q22" i="7"/>
  <c r="Q26" i="7"/>
  <c r="Q29" i="7"/>
  <c r="Q36" i="7"/>
  <c r="Q37" i="7"/>
  <c r="Q114" i="7"/>
  <c r="Q116" i="7"/>
  <c r="P9" i="7"/>
  <c r="P11" i="7"/>
  <c r="P14" i="7"/>
  <c r="P16" i="7"/>
  <c r="P19" i="7"/>
  <c r="P22" i="7"/>
  <c r="P26" i="7"/>
  <c r="P29" i="7"/>
  <c r="P31" i="7"/>
  <c r="P36" i="7"/>
  <c r="Q84" i="7"/>
  <c r="P114" i="7"/>
  <c r="P116" i="7"/>
  <c r="P118" i="7"/>
  <c r="N8" i="7"/>
  <c r="P8" i="7" s="1"/>
  <c r="N10" i="7"/>
  <c r="P10" i="7" s="1"/>
  <c r="O11" i="7"/>
  <c r="N12" i="7"/>
  <c r="P12" i="7" s="1"/>
  <c r="O14" i="7"/>
  <c r="N15" i="7"/>
  <c r="P15" i="7" s="1"/>
  <c r="O16" i="7"/>
  <c r="N18" i="7"/>
  <c r="P18" i="7" s="1"/>
  <c r="O19" i="7"/>
  <c r="N20" i="7"/>
  <c r="P20" i="7" s="1"/>
  <c r="O22" i="7"/>
  <c r="N23" i="7"/>
  <c r="P23" i="7" s="1"/>
  <c r="N25" i="7"/>
  <c r="P25" i="7" s="1"/>
  <c r="O26" i="7"/>
  <c r="N27" i="7"/>
  <c r="P27" i="7" s="1"/>
  <c r="O29" i="7"/>
  <c r="N30" i="7"/>
  <c r="P30" i="7" s="1"/>
  <c r="O31" i="7"/>
  <c r="N32" i="7"/>
  <c r="P32" i="7" s="1"/>
  <c r="N35" i="7"/>
  <c r="P35" i="7" s="1"/>
  <c r="O36" i="7"/>
  <c r="N46" i="7"/>
  <c r="Q46" i="7" s="1"/>
  <c r="P57" i="7"/>
  <c r="P58" i="7"/>
  <c r="N64" i="7"/>
  <c r="O64" i="7" s="1"/>
  <c r="P65" i="7"/>
  <c r="N66" i="7"/>
  <c r="O66" i="7" s="1"/>
  <c r="P67" i="7"/>
  <c r="R67" i="7"/>
  <c r="T67" i="7"/>
  <c r="P70" i="7"/>
  <c r="R70" i="7"/>
  <c r="T70" i="7"/>
  <c r="N80" i="7"/>
  <c r="O80" i="7" s="1"/>
  <c r="N81" i="7"/>
  <c r="O81" i="7" s="1"/>
  <c r="P82" i="7"/>
  <c r="N83" i="7"/>
  <c r="O83" i="7" s="1"/>
  <c r="O84" i="7"/>
  <c r="P85" i="7"/>
  <c r="N86" i="7"/>
  <c r="O86" i="7" s="1"/>
  <c r="N87" i="7"/>
  <c r="O87" i="7" s="1"/>
  <c r="N88" i="7"/>
  <c r="O88" i="7" s="1"/>
  <c r="O90" i="7"/>
  <c r="Q90" i="7"/>
  <c r="N95" i="7"/>
  <c r="O95" i="7" s="1"/>
  <c r="N96" i="7"/>
  <c r="O96" i="7" s="1"/>
  <c r="P97" i="7"/>
  <c r="N98" i="7"/>
  <c r="O98" i="7" s="1"/>
  <c r="O99" i="7"/>
  <c r="N113" i="7"/>
  <c r="O113" i="7" s="1"/>
  <c r="O114" i="7"/>
  <c r="N115" i="7"/>
  <c r="Q115" i="7" s="1"/>
  <c r="O116" i="7"/>
  <c r="N117" i="7"/>
  <c r="O117" i="7" s="1"/>
  <c r="N119" i="7"/>
  <c r="Q119" i="7" s="1"/>
  <c r="P120" i="7"/>
  <c r="N121" i="7"/>
  <c r="O121" i="7" s="1"/>
  <c r="P123" i="7"/>
  <c r="N125" i="7"/>
  <c r="O125" i="7" s="1"/>
  <c r="N126" i="7"/>
  <c r="O126" i="7" s="1"/>
  <c r="P127" i="7"/>
  <c r="N128" i="7"/>
  <c r="O128" i="7" s="1"/>
  <c r="N129" i="7"/>
  <c r="O129" i="7" s="1"/>
  <c r="N130" i="7"/>
  <c r="O130" i="7" s="1"/>
  <c r="N131" i="7"/>
  <c r="O131" i="7" s="1"/>
  <c r="N132" i="7"/>
  <c r="O132" i="7" s="1"/>
  <c r="N133" i="7"/>
  <c r="O133" i="7" s="1"/>
  <c r="N134" i="7"/>
  <c r="O134" i="7" s="1"/>
  <c r="P135" i="7"/>
  <c r="N136" i="7"/>
  <c r="O136" i="7" s="1"/>
  <c r="Q138" i="7"/>
  <c r="O57" i="7"/>
  <c r="O58" i="7"/>
  <c r="O65" i="7"/>
  <c r="O67" i="7"/>
  <c r="Q67" i="7"/>
  <c r="N68" i="7"/>
  <c r="O70" i="7"/>
  <c r="Q70" i="7"/>
  <c r="O82" i="7"/>
  <c r="N89" i="7"/>
  <c r="Q89" i="7" s="1"/>
  <c r="N91" i="7"/>
  <c r="O91" i="7" s="1"/>
  <c r="O97" i="7"/>
  <c r="N100" i="7"/>
  <c r="O100" i="7" s="1"/>
  <c r="N101" i="7"/>
  <c r="O101" i="7" s="1"/>
  <c r="N102" i="7"/>
  <c r="O102" i="7" s="1"/>
  <c r="N103" i="7"/>
  <c r="O103" i="7" s="1"/>
  <c r="N104" i="7"/>
  <c r="O104" i="7" s="1"/>
  <c r="N106" i="7"/>
  <c r="O106" i="7" s="1"/>
  <c r="N110" i="7"/>
  <c r="O110" i="7" s="1"/>
  <c r="N111" i="7"/>
  <c r="O111" i="7" s="1"/>
  <c r="O120" i="7"/>
  <c r="O123" i="7"/>
  <c r="O127" i="7"/>
  <c r="O135" i="7"/>
  <c r="P138" i="7"/>
  <c r="F80" i="4"/>
  <c r="F81" i="4"/>
  <c r="F82" i="4"/>
  <c r="F83" i="4"/>
  <c r="F84" i="4"/>
  <c r="F85" i="4"/>
  <c r="F86" i="4"/>
  <c r="F87" i="4"/>
  <c r="F88" i="4"/>
  <c r="F89" i="4"/>
  <c r="E90" i="4"/>
  <c r="F105" i="4"/>
  <c r="F107" i="4"/>
  <c r="F110" i="4"/>
  <c r="F111" i="4"/>
  <c r="F112" i="4"/>
  <c r="F113" i="4"/>
  <c r="F114" i="4"/>
  <c r="F115" i="4"/>
  <c r="F116" i="4"/>
  <c r="F117" i="4"/>
  <c r="F118" i="4"/>
  <c r="F119" i="4"/>
  <c r="F122" i="4"/>
  <c r="F125" i="4"/>
  <c r="F126" i="4"/>
  <c r="F127" i="4"/>
  <c r="F128" i="4"/>
  <c r="F129" i="4"/>
  <c r="F130" i="4"/>
  <c r="F131" i="4"/>
  <c r="F132" i="4"/>
  <c r="F133" i="4"/>
  <c r="F134" i="4"/>
  <c r="F137" i="4"/>
  <c r="E120" i="4"/>
  <c r="E135" i="4"/>
  <c r="D8" i="2"/>
  <c r="F8" i="2"/>
  <c r="J9" i="2"/>
  <c r="D16" i="2"/>
  <c r="F16" i="2"/>
  <c r="D18" i="2"/>
  <c r="F18" i="2"/>
  <c r="H18" i="2"/>
  <c r="K18" i="2"/>
  <c r="J19" i="2"/>
  <c r="C8" i="2"/>
  <c r="E8" i="2"/>
  <c r="I8" i="2"/>
  <c r="C16" i="2"/>
  <c r="E16" i="2"/>
  <c r="C18" i="2"/>
  <c r="E18" i="2"/>
  <c r="G18" i="2"/>
  <c r="G9" i="1"/>
  <c r="F15" i="1"/>
  <c r="F16" i="1" s="1"/>
  <c r="G6" i="1"/>
  <c r="Q118" i="7" l="1"/>
  <c r="P43" i="7"/>
  <c r="P38" i="7"/>
  <c r="O33" i="7"/>
  <c r="O24" i="7"/>
  <c r="P33" i="7"/>
  <c r="P24" i="7"/>
  <c r="P42" i="7"/>
  <c r="P37" i="7"/>
  <c r="Q99" i="7"/>
  <c r="E164" i="17"/>
  <c r="E33" i="17"/>
  <c r="B50" i="17"/>
  <c r="E107" i="17"/>
  <c r="E72" i="14"/>
  <c r="F72" i="14"/>
  <c r="D72" i="14"/>
  <c r="K60" i="11"/>
  <c r="E100" i="11"/>
  <c r="F100" i="11" s="1"/>
  <c r="I82" i="11" s="1"/>
  <c r="G86" i="11"/>
  <c r="Q85" i="7"/>
  <c r="Q41" i="7"/>
  <c r="Q44" i="7"/>
  <c r="Q39" i="7"/>
  <c r="Q43" i="7"/>
  <c r="Q38" i="7"/>
  <c r="Q42" i="7"/>
  <c r="Q136" i="7"/>
  <c r="P133" i="7"/>
  <c r="P131" i="7"/>
  <c r="P129" i="7"/>
  <c r="Q126" i="7"/>
  <c r="P121" i="7"/>
  <c r="O119" i="7"/>
  <c r="Q117" i="7"/>
  <c r="O115" i="7"/>
  <c r="Q113" i="7"/>
  <c r="Q111" i="7"/>
  <c r="P106" i="7"/>
  <c r="Q103" i="7"/>
  <c r="Q101" i="7"/>
  <c r="Q96" i="7"/>
  <c r="Q91" i="7"/>
  <c r="Q88" i="7"/>
  <c r="Q86" i="7"/>
  <c r="P83" i="7"/>
  <c r="Q80" i="7"/>
  <c r="P66" i="7"/>
  <c r="O46" i="7"/>
  <c r="Q35" i="7"/>
  <c r="O32" i="7"/>
  <c r="Q30" i="7"/>
  <c r="O27" i="7"/>
  <c r="Q25" i="7"/>
  <c r="O23" i="7"/>
  <c r="Q20" i="7"/>
  <c r="O18" i="7"/>
  <c r="Q15" i="7"/>
  <c r="O12" i="7"/>
  <c r="Q10" i="7"/>
  <c r="O8" i="7"/>
  <c r="Q134" i="7"/>
  <c r="Q132" i="7"/>
  <c r="Q130" i="7"/>
  <c r="Q128" i="7"/>
  <c r="P125" i="7"/>
  <c r="P119" i="7"/>
  <c r="P117" i="7"/>
  <c r="P115" i="7"/>
  <c r="P113" i="7"/>
  <c r="P110" i="7"/>
  <c r="P104" i="7"/>
  <c r="P102" i="7"/>
  <c r="P100" i="7"/>
  <c r="P96" i="7"/>
  <c r="P91" i="7"/>
  <c r="O89" i="7"/>
  <c r="P87" i="7"/>
  <c r="Q83" i="7"/>
  <c r="P80" i="7"/>
  <c r="Q66" i="7"/>
  <c r="Q64" i="7"/>
  <c r="P46" i="7"/>
  <c r="T68" i="7"/>
  <c r="R68" i="7"/>
  <c r="S68" i="7"/>
  <c r="O68" i="7"/>
  <c r="P134" i="7"/>
  <c r="P132" i="7"/>
  <c r="P130" i="7"/>
  <c r="P128" i="7"/>
  <c r="Q125" i="7"/>
  <c r="Q110" i="7"/>
  <c r="Q104" i="7"/>
  <c r="Q102" i="7"/>
  <c r="Q100" i="7"/>
  <c r="P98" i="7"/>
  <c r="Q95" i="7"/>
  <c r="P89" i="7"/>
  <c r="Q87" i="7"/>
  <c r="Q81" i="7"/>
  <c r="P68" i="7"/>
  <c r="P64" i="7"/>
  <c r="O35" i="7"/>
  <c r="Q32" i="7"/>
  <c r="O30" i="7"/>
  <c r="Q27" i="7"/>
  <c r="O25" i="7"/>
  <c r="Q23" i="7"/>
  <c r="O20" i="7"/>
  <c r="Q18" i="7"/>
  <c r="O15" i="7"/>
  <c r="Q12" i="7"/>
  <c r="O10" i="7"/>
  <c r="Q8" i="7"/>
  <c r="P136" i="7"/>
  <c r="Q133" i="7"/>
  <c r="Q131" i="7"/>
  <c r="Q129" i="7"/>
  <c r="P126" i="7"/>
  <c r="Q121" i="7"/>
  <c r="P111" i="7"/>
  <c r="Q106" i="7"/>
  <c r="P103" i="7"/>
  <c r="P101" i="7"/>
  <c r="Q98" i="7"/>
  <c r="P95" i="7"/>
  <c r="P88" i="7"/>
  <c r="P86" i="7"/>
  <c r="P81" i="7"/>
  <c r="Q68" i="7"/>
  <c r="F135" i="4"/>
  <c r="F120" i="4"/>
  <c r="F90" i="4"/>
  <c r="E10" i="2"/>
  <c r="C10" i="2"/>
  <c r="J11" i="2"/>
  <c r="K10" i="2"/>
  <c r="F10" i="2"/>
  <c r="I10" i="2"/>
  <c r="D10" i="2"/>
  <c r="E50" i="17" l="1"/>
  <c r="I86" i="11"/>
</calcChain>
</file>

<file path=xl/sharedStrings.xml><?xml version="1.0" encoding="utf-8"?>
<sst xmlns="http://schemas.openxmlformats.org/spreadsheetml/2006/main" count="2928" uniqueCount="505">
  <si>
    <t>Die wichtigsten Daten der Wirtschaftsjahre 2012/13 und 2011/12</t>
  </si>
  <si>
    <t>2012/13</t>
  </si>
  <si>
    <t>2011/12</t>
  </si>
  <si>
    <r>
      <t>Anzahl der Mühlen</t>
    </r>
    <r>
      <rPr>
        <vertAlign val="superscript"/>
        <sz val="10"/>
        <rFont val="Times New Roman"/>
        <family val="1"/>
      </rPr>
      <t>1)</t>
    </r>
  </si>
  <si>
    <t xml:space="preserve">davon </t>
  </si>
  <si>
    <t>im alten Bundesgebiet</t>
  </si>
  <si>
    <t>in den neuen Ländern und Berlin</t>
  </si>
  <si>
    <t>Hartweizenmühlen</t>
  </si>
  <si>
    <t>Vermahlung von Brotgetreide</t>
  </si>
  <si>
    <t>Weichweizen</t>
  </si>
  <si>
    <t>Roggen</t>
  </si>
  <si>
    <t>Vermahlung für Export</t>
  </si>
  <si>
    <t>Durchschnittliche Vermahlung je Betrieb</t>
  </si>
  <si>
    <t>Vermahlung von Hartweizen</t>
  </si>
  <si>
    <t>Vermahlung von Getreide insgesamt</t>
  </si>
  <si>
    <t>1) Ab dem WJ 2012/13 neue Grenze zur Meldepflicht mit 1.000 t Vermahlung pro Jahr.</t>
  </si>
  <si>
    <t>Übersicht 2: Mühlen nach Größenklassen</t>
  </si>
  <si>
    <t>5 000</t>
  </si>
  <si>
    <t>25 000</t>
  </si>
  <si>
    <t>50 000</t>
  </si>
  <si>
    <t>davon</t>
  </si>
  <si>
    <t>WJ</t>
  </si>
  <si>
    <t>bis unter</t>
  </si>
  <si>
    <t>100 000 t</t>
  </si>
  <si>
    <t>Insgesamt</t>
  </si>
  <si>
    <t>Hartweizen</t>
  </si>
  <si>
    <t>5 000 t</t>
  </si>
  <si>
    <t>25 000 t</t>
  </si>
  <si>
    <t>50 000 t</t>
  </si>
  <si>
    <t>und mehr</t>
  </si>
  <si>
    <t>Deutschland</t>
  </si>
  <si>
    <t>Anzahl</t>
  </si>
  <si>
    <t>dgl. in %</t>
  </si>
  <si>
    <t>Vermahlung
1 000 t</t>
  </si>
  <si>
    <t>Marktanteil</t>
  </si>
  <si>
    <t>Durchschnittliche 
Vermahlung</t>
  </si>
  <si>
    <r>
      <t xml:space="preserve">unter </t>
    </r>
    <r>
      <rPr>
        <vertAlign val="superscript"/>
        <sz val="10"/>
        <rFont val="Univers (WN)"/>
      </rPr>
      <t>1)</t>
    </r>
  </si>
  <si>
    <t>1) Betriebe, die eine Vermahlung gemeldet haben.</t>
  </si>
  <si>
    <t xml:space="preserve">Übersicht 3.3: Zahl der Mühlen und Vermahlung nach Getreidearten </t>
  </si>
  <si>
    <t>und Gebietsstand</t>
  </si>
  <si>
    <t>Anzahl der</t>
  </si>
  <si>
    <t xml:space="preserve">   Vermahlung in t</t>
  </si>
  <si>
    <t>Durchschn.</t>
  </si>
  <si>
    <t xml:space="preserve">Mühlen </t>
  </si>
  <si>
    <t>insgesamt</t>
  </si>
  <si>
    <t>Vermahlung</t>
  </si>
  <si>
    <t>je Mühle in t</t>
  </si>
  <si>
    <t xml:space="preserve"> 1950/51</t>
  </si>
  <si>
    <t xml:space="preserve"> 1960/61</t>
  </si>
  <si>
    <t xml:space="preserve"> 1970/71</t>
  </si>
  <si>
    <t xml:space="preserve"> 1975/76</t>
  </si>
  <si>
    <t xml:space="preserve"> 1980/81</t>
  </si>
  <si>
    <t xml:space="preserve"> 1981/82</t>
  </si>
  <si>
    <t xml:space="preserve"> 1982/83</t>
  </si>
  <si>
    <t xml:space="preserve"> 1983/84</t>
  </si>
  <si>
    <t xml:space="preserve"> 1984/85</t>
  </si>
  <si>
    <t xml:space="preserve"> 1985/86</t>
  </si>
  <si>
    <t xml:space="preserve"> 1986/87</t>
  </si>
  <si>
    <t xml:space="preserve"> 1987/88</t>
  </si>
  <si>
    <t xml:space="preserve"> 1988/89</t>
  </si>
  <si>
    <t xml:space="preserve"> 1989/90</t>
  </si>
  <si>
    <t xml:space="preserve"> 1990/91</t>
  </si>
  <si>
    <t xml:space="preserve">.   </t>
  </si>
  <si>
    <t xml:space="preserve"> 1991/92</t>
  </si>
  <si>
    <t xml:space="preserve"> 1992/93</t>
  </si>
  <si>
    <t xml:space="preserve"> 1993/94</t>
  </si>
  <si>
    <t xml:space="preserve"> 1994/95</t>
  </si>
  <si>
    <t xml:space="preserve"> 1995/96</t>
  </si>
  <si>
    <t xml:space="preserve"> 1996/97</t>
  </si>
  <si>
    <t xml:space="preserve"> 1997/98</t>
  </si>
  <si>
    <t xml:space="preserve"> 1998/99</t>
  </si>
  <si>
    <t xml:space="preserve"> 1999/2000</t>
  </si>
  <si>
    <t xml:space="preserve"> 2001/02</t>
  </si>
  <si>
    <t xml:space="preserve"> 2002/03</t>
  </si>
  <si>
    <t xml:space="preserve"> 2003/04</t>
  </si>
  <si>
    <t xml:space="preserve"> 2004/05</t>
  </si>
  <si>
    <t xml:space="preserve"> 2005/06</t>
  </si>
  <si>
    <t xml:space="preserve"> 2006/07</t>
  </si>
  <si>
    <t xml:space="preserve"> 2007/08</t>
  </si>
  <si>
    <t xml:space="preserve"> 2008/09</t>
  </si>
  <si>
    <t xml:space="preserve"> 2009/10</t>
  </si>
  <si>
    <t xml:space="preserve"> 2010/11</t>
  </si>
  <si>
    <t xml:space="preserve"> 2011/12</t>
  </si>
  <si>
    <t>Fortsetzung auf der nächsten Seite</t>
  </si>
  <si>
    <t xml:space="preserve">Übersicht 3.4: Zahl der Mühlen und Vermahlung nach Getreidearten </t>
  </si>
  <si>
    <t>und Regionen</t>
  </si>
  <si>
    <t xml:space="preserve">insgesamt </t>
  </si>
  <si>
    <t>Nord</t>
  </si>
  <si>
    <t>West</t>
  </si>
  <si>
    <t>Süd</t>
  </si>
  <si>
    <t>Ost</t>
  </si>
  <si>
    <t>1) Bis 1969/70 Juli/Juni; von 1970/71 bis 1985/86 August/Juli: ab 1986/87 Juli/Juni.</t>
  </si>
  <si>
    <t xml:space="preserve">2) Einschließlich Berlin-West. 1990/91 einschließlich Berlin. Daten bis 1974/75 von der Mühlenstelle Bonn; </t>
  </si>
  <si>
    <t xml:space="preserve">    ab 1975/76 Datengrundlage Getreide-Meldeverordnung.</t>
  </si>
  <si>
    <t>3) Ab 1982/83 ohne Handelsmühlen mit einer Jahresvermahlung unter 250 t sowie ohne Lohn- und Umtauschmühlen.</t>
  </si>
  <si>
    <t>4) Anzahl der Mühlen bis 1988/89 mit Handelsmühlen bis 250 t Jahresvermahlung bzw. ohne Vermahlung.</t>
  </si>
  <si>
    <t xml:space="preserve">    Bis 1988/89 Quelle MELF der DDR. 1990/91 ohne Ostberlin.</t>
  </si>
  <si>
    <t>5) Ab 2000/01 ohne Handelsmühlen mit einer Jahresvermahlung unter 500 t.</t>
  </si>
  <si>
    <t>6) Ab 2012/13 ohne Handelsmühlen mit einer Jahresvermahlung unter 1.000 t.</t>
  </si>
  <si>
    <r>
      <t xml:space="preserve">Zeitraum </t>
    </r>
    <r>
      <rPr>
        <vertAlign val="superscript"/>
        <sz val="10"/>
        <rFont val="Univers (WN)"/>
        <family val="2"/>
      </rPr>
      <t>1)</t>
    </r>
  </si>
  <si>
    <r>
      <t xml:space="preserve">Früheres Bundesgebiet </t>
    </r>
    <r>
      <rPr>
        <b/>
        <vertAlign val="superscript"/>
        <sz val="10"/>
        <rFont val="Univers (WN)"/>
        <family val="2"/>
      </rPr>
      <t>2)</t>
    </r>
  </si>
  <si>
    <r>
      <t xml:space="preserve"> 1982/83 </t>
    </r>
    <r>
      <rPr>
        <vertAlign val="superscript"/>
        <sz val="10"/>
        <rFont val="Univers (WN)"/>
        <family val="2"/>
      </rPr>
      <t>3)</t>
    </r>
    <r>
      <rPr>
        <sz val="10"/>
        <rFont val="Arial"/>
        <family val="2"/>
      </rPr>
      <t xml:space="preserve"> </t>
    </r>
  </si>
  <si>
    <r>
      <t xml:space="preserve">Neue Länder </t>
    </r>
    <r>
      <rPr>
        <b/>
        <vertAlign val="superscript"/>
        <sz val="10"/>
        <rFont val="Univers (WN)"/>
        <family val="2"/>
      </rPr>
      <t>4)</t>
    </r>
  </si>
  <si>
    <r>
      <t xml:space="preserve"> 2000/01 </t>
    </r>
    <r>
      <rPr>
        <vertAlign val="superscript"/>
        <sz val="10"/>
        <rFont val="Univers (WN)"/>
      </rPr>
      <t>5)</t>
    </r>
  </si>
  <si>
    <r>
      <t xml:space="preserve"> 2012/13 </t>
    </r>
    <r>
      <rPr>
        <vertAlign val="superscript"/>
        <sz val="10"/>
        <rFont val="Univers (WN)"/>
      </rPr>
      <t>6)</t>
    </r>
  </si>
  <si>
    <r>
      <t xml:space="preserve">Zeitraum </t>
    </r>
    <r>
      <rPr>
        <vertAlign val="superscript"/>
        <sz val="10"/>
        <rFont val="Univers (WN)"/>
        <family val="2"/>
      </rPr>
      <t>5)</t>
    </r>
  </si>
  <si>
    <t>Übersicht 3.1:</t>
  </si>
  <si>
    <t xml:space="preserve">Anzahl der Mühlen und Verarbeitung nach Getreidearten </t>
  </si>
  <si>
    <t>in Deutschland</t>
  </si>
  <si>
    <t>Getreide</t>
  </si>
  <si>
    <t>Wirtschaftsjahr 2012/13</t>
  </si>
  <si>
    <t>Vermahlen - Inland</t>
  </si>
  <si>
    <t>Vermahlen für Export</t>
  </si>
  <si>
    <t>Vermahlen zur Stärke-herstellung</t>
  </si>
  <si>
    <t>Vermahlung insgesamt</t>
  </si>
  <si>
    <t>Schälen</t>
  </si>
  <si>
    <t>Menge in Tonnen</t>
  </si>
  <si>
    <t xml:space="preserve"> - </t>
  </si>
  <si>
    <t>Übrige Gerste</t>
  </si>
  <si>
    <t>Hafer</t>
  </si>
  <si>
    <t xml:space="preserve"> . </t>
  </si>
  <si>
    <t>Mais</t>
  </si>
  <si>
    <t>Sorghum, Hirse, Reis (Paddy), andere Getreide-arten</t>
  </si>
  <si>
    <t>Anzahl Betriebe</t>
  </si>
  <si>
    <t>Übersicht 3.2:</t>
  </si>
  <si>
    <t>Verarbeitung von Getreide und Anzahl der Verarbeitungsbetriebe</t>
  </si>
  <si>
    <t>Verarbeitungs-prozess</t>
  </si>
  <si>
    <t>Mahl- und Schäl-mühlen</t>
  </si>
  <si>
    <t>Mälzen</t>
  </si>
  <si>
    <t>Herstellung von Nähr- und Backmitteln sowie Kaffee-ersatz</t>
  </si>
  <si>
    <t>Mischfutter-herstellung</t>
  </si>
  <si>
    <t>Herstellung von Stärke, sonstigen Getreideer-zeugnissen und Bioenergie</t>
  </si>
  <si>
    <t>Braugerste</t>
  </si>
  <si>
    <t>-</t>
  </si>
  <si>
    <t>.</t>
  </si>
  <si>
    <t>Reis (Paddy)</t>
  </si>
  <si>
    <t>Sorghum, Hirse</t>
  </si>
  <si>
    <t>Triticale</t>
  </si>
  <si>
    <t>Andere Getreidearten</t>
  </si>
  <si>
    <t>Übersicht 4.1: Marktanteile nach Größenklassen und Gebietsstand</t>
  </si>
  <si>
    <t>Vermahlung in 1 000 t</t>
  </si>
  <si>
    <t>Marktanteile in Prozent</t>
  </si>
  <si>
    <t>500 t</t>
  </si>
  <si>
    <r>
      <t xml:space="preserve">Zeitraum </t>
    </r>
    <r>
      <rPr>
        <vertAlign val="superscript"/>
        <sz val="10"/>
        <rFont val="Arial"/>
        <family val="2"/>
      </rPr>
      <t>1)</t>
    </r>
  </si>
  <si>
    <t>100.000 t</t>
  </si>
  <si>
    <r>
      <t>zusammen</t>
    </r>
    <r>
      <rPr>
        <vertAlign val="superscript"/>
        <sz val="10"/>
        <rFont val="Arial"/>
        <family val="2"/>
      </rPr>
      <t>2)</t>
    </r>
  </si>
  <si>
    <r>
      <t xml:space="preserve">500 t </t>
    </r>
    <r>
      <rPr>
        <vertAlign val="superscript"/>
        <sz val="10"/>
        <rFont val="Arial"/>
        <family val="2"/>
      </rPr>
      <t>3)</t>
    </r>
  </si>
  <si>
    <t>2.500 t</t>
  </si>
  <si>
    <t>5.000 t</t>
  </si>
  <si>
    <t>10.000 t</t>
  </si>
  <si>
    <t>25.000 t</t>
  </si>
  <si>
    <t>200.000 t</t>
  </si>
  <si>
    <r>
      <t xml:space="preserve">Früheres Bundesgebiet </t>
    </r>
    <r>
      <rPr>
        <b/>
        <vertAlign val="superscript"/>
        <sz val="10"/>
        <rFont val="Arial"/>
        <family val="2"/>
      </rPr>
      <t>3)</t>
    </r>
  </si>
  <si>
    <t xml:space="preserve"> 1976/77</t>
  </si>
  <si>
    <t xml:space="preserve"> 1977/78</t>
  </si>
  <si>
    <t xml:space="preserve"> 1978/79</t>
  </si>
  <si>
    <t xml:space="preserve"> 1979/80</t>
  </si>
  <si>
    <r>
      <t xml:space="preserve"> 1982/83 </t>
    </r>
    <r>
      <rPr>
        <vertAlign val="superscript"/>
        <sz val="10"/>
        <rFont val="Arial"/>
        <family val="2"/>
      </rPr>
      <t>2)</t>
    </r>
  </si>
  <si>
    <t xml:space="preserve"> 1990/91 </t>
  </si>
  <si>
    <r>
      <t xml:space="preserve">Neue Länder </t>
    </r>
    <r>
      <rPr>
        <b/>
        <vertAlign val="superscript"/>
        <sz val="10"/>
        <rFont val="Arial"/>
        <family val="2"/>
      </rPr>
      <t>4)</t>
    </r>
  </si>
  <si>
    <t xml:space="preserve">             -</t>
  </si>
  <si>
    <t xml:space="preserve">             .</t>
  </si>
  <si>
    <t xml:space="preserve">..  </t>
  </si>
  <si>
    <t xml:space="preserve"> 2000/01</t>
  </si>
  <si>
    <r>
      <t xml:space="preserve"> 2012/13 </t>
    </r>
    <r>
      <rPr>
        <vertAlign val="superscript"/>
        <sz val="10"/>
        <rFont val="Arial"/>
        <family val="2"/>
      </rPr>
      <t>6)</t>
    </r>
  </si>
  <si>
    <t>Übersicht 4.2: Marktanteile nach Größenklassen und Regionen</t>
  </si>
  <si>
    <t xml:space="preserve">         Marktanteile in Prozent</t>
  </si>
  <si>
    <r>
      <t xml:space="preserve">zusammen </t>
    </r>
    <r>
      <rPr>
        <vertAlign val="superscript"/>
        <sz val="10"/>
        <rFont val="Arial"/>
        <family val="2"/>
      </rPr>
      <t>5)</t>
    </r>
  </si>
  <si>
    <t xml:space="preserve"> 2000/01 </t>
  </si>
  <si>
    <t>1) Bis 1969/70 Juli/Juni; von 1970/71 bis 1985/86 August/Juli; ab 1986/87 Juli/Juni.</t>
  </si>
  <si>
    <t>2) Die Hartweizenvermahlung wird ab 1990/91 nur in der Gesamtsumme ausgewiesen.</t>
  </si>
  <si>
    <t>3) Einschließlich Berlin-West. 1990/91 einschließlich Berlin. Daten bis 1974/75 von der Mühlenstelle Bonn;</t>
  </si>
  <si>
    <t>4) Bis 1988/89 Quelle MELF der DDR. 1990/91 ohne Ostberlin.</t>
  </si>
  <si>
    <t>5) Es wird nur Brotgetreide ausgewiesen.</t>
  </si>
  <si>
    <t xml:space="preserve">Übersicht 5.1: Zahl der Mühlen nach Größenklassen und Gebietsstand  </t>
  </si>
  <si>
    <t>2 500</t>
  </si>
  <si>
    <t>10 000</t>
  </si>
  <si>
    <t>zusammen</t>
  </si>
  <si>
    <r>
      <t xml:space="preserve">500 t </t>
    </r>
    <r>
      <rPr>
        <vertAlign val="superscript"/>
        <sz val="10"/>
        <rFont val="Arial"/>
        <family val="2"/>
      </rPr>
      <t>2)</t>
    </r>
  </si>
  <si>
    <t>2 500 t</t>
  </si>
  <si>
    <t>10 000 t</t>
  </si>
  <si>
    <t xml:space="preserve">        -  </t>
  </si>
  <si>
    <t xml:space="preserve">        .  </t>
  </si>
  <si>
    <t xml:space="preserve">.  </t>
  </si>
  <si>
    <t>1991/92</t>
  </si>
  <si>
    <t>1992/93</t>
  </si>
  <si>
    <t>1993/94</t>
  </si>
  <si>
    <r>
      <t xml:space="preserve"> 2000/01 </t>
    </r>
    <r>
      <rPr>
        <vertAlign val="superscript"/>
        <sz val="10"/>
        <rFont val="Arial"/>
        <family val="2"/>
      </rPr>
      <t>5)</t>
    </r>
  </si>
  <si>
    <t>--</t>
  </si>
  <si>
    <t>1994/95</t>
  </si>
  <si>
    <t>100 000</t>
  </si>
  <si>
    <t>1995/96</t>
  </si>
  <si>
    <r>
      <t xml:space="preserve">Zeitraum </t>
    </r>
    <r>
      <rPr>
        <vertAlign val="superscript"/>
        <sz val="10"/>
        <rFont val="Arial"/>
        <family val="2"/>
      </rPr>
      <t>5)</t>
    </r>
  </si>
  <si>
    <t>200 000 t</t>
  </si>
  <si>
    <t>1996/97</t>
  </si>
  <si>
    <t>200 000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</si>
  <si>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</si>
  <si>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</si>
  <si>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</si>
  <si>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</si>
  <si>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</si>
  <si>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</si>
  <si>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</si>
  <si>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</si>
  <si>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</si>
  <si>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</si>
  <si>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</si>
  <si>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2009/10</t>
  </si>
  <si>
    <t>2010/11</t>
  </si>
  <si>
    <t>Übersicht 5.2: Zahl der Mühlen nach Größenklassen und Regionen</t>
  </si>
  <si>
    <t>2) Ab 1982/83 ohne Handelsmühlen mit einer Jahresvermahlung unter 250 t sowie ohne Lohn- und Umtauschmühlen.</t>
  </si>
  <si>
    <t xml:space="preserve">4) Anzahl der Mühlen bis 1988/89 mit Handelsmühlen unter 250 t Jahresvermahlung bzw. ohne Vermahlung. </t>
  </si>
  <si>
    <t xml:space="preserve">    Bis 1988/89 Quelle MELF der DDR. 1990/91 ohne Ostberlin. </t>
  </si>
  <si>
    <t>5) Ab 2000/01 ohne Handelsmühlen mit einer Jahresvermahlung unter 500 t. Neue Größenklassen nach Einführung</t>
  </si>
  <si>
    <t xml:space="preserve">    der Marktordnungswaren-Meldeverordnung.</t>
  </si>
  <si>
    <t>Übersicht 6: Anzahl der Mühlen nach Bundesländern und Regionen</t>
  </si>
  <si>
    <r>
      <t xml:space="preserve">Zeitraum </t>
    </r>
    <r>
      <rPr>
        <vertAlign val="superscript"/>
        <sz val="10"/>
        <rFont val="Arial"/>
        <family val="2"/>
      </rPr>
      <t>1,2)</t>
    </r>
  </si>
  <si>
    <r>
      <t>SH/HH</t>
    </r>
    <r>
      <rPr>
        <vertAlign val="superscript"/>
        <sz val="10"/>
        <rFont val="Arial"/>
        <family val="2"/>
      </rPr>
      <t>3)</t>
    </r>
  </si>
  <si>
    <r>
      <t>NI/HB</t>
    </r>
    <r>
      <rPr>
        <vertAlign val="superscript"/>
        <sz val="10"/>
        <rFont val="Arial"/>
        <family val="2"/>
      </rPr>
      <t>4)</t>
    </r>
  </si>
  <si>
    <t>NW</t>
  </si>
  <si>
    <t>HE</t>
  </si>
  <si>
    <t>RP</t>
  </si>
  <si>
    <t>BW</t>
  </si>
  <si>
    <t>BY</t>
  </si>
  <si>
    <t>SL</t>
  </si>
  <si>
    <r>
      <t xml:space="preserve">BE </t>
    </r>
    <r>
      <rPr>
        <vertAlign val="superscript"/>
        <sz val="10"/>
        <rFont val="Arial"/>
        <family val="2"/>
      </rPr>
      <t>3,5)</t>
    </r>
  </si>
  <si>
    <t xml:space="preserve"> 1965/66</t>
  </si>
  <si>
    <t xml:space="preserve"> 1966/67</t>
  </si>
  <si>
    <t xml:space="preserve"> 1967/68</t>
  </si>
  <si>
    <t xml:space="preserve"> 1968/69</t>
  </si>
  <si>
    <t xml:space="preserve"> 1969/70</t>
  </si>
  <si>
    <t xml:space="preserve"> 1971/72</t>
  </si>
  <si>
    <t xml:space="preserve"> 1972/73</t>
  </si>
  <si>
    <t xml:space="preserve"> 1973/74</t>
  </si>
  <si>
    <t xml:space="preserve"> 1974/75</t>
  </si>
  <si>
    <r>
      <t xml:space="preserve"> 1982/83 </t>
    </r>
    <r>
      <rPr>
        <vertAlign val="superscript"/>
        <sz val="10"/>
        <rFont val="Arial"/>
        <family val="2"/>
      </rPr>
      <t>6)</t>
    </r>
  </si>
  <si>
    <r>
      <t xml:space="preserve"> 2000/01 </t>
    </r>
    <r>
      <rPr>
        <vertAlign val="superscript"/>
        <sz val="10"/>
        <rFont val="Arial"/>
        <family val="2"/>
      </rPr>
      <t>7)</t>
    </r>
  </si>
  <si>
    <r>
      <t xml:space="preserve"> 2012/13 </t>
    </r>
    <r>
      <rPr>
        <vertAlign val="superscript"/>
        <sz val="10"/>
        <rFont val="Arial"/>
        <family val="2"/>
      </rPr>
      <t>10)</t>
    </r>
  </si>
  <si>
    <r>
      <t xml:space="preserve">Zeitraum </t>
    </r>
    <r>
      <rPr>
        <vertAlign val="superscript"/>
        <sz val="10"/>
        <rFont val="Arial"/>
        <family val="2"/>
      </rPr>
      <t>7)</t>
    </r>
  </si>
  <si>
    <r>
      <t xml:space="preserve">BB </t>
    </r>
    <r>
      <rPr>
        <vertAlign val="superscript"/>
        <sz val="10"/>
        <rFont val="Arial"/>
        <family val="2"/>
      </rPr>
      <t>5,8)</t>
    </r>
  </si>
  <si>
    <r>
      <t xml:space="preserve">MV </t>
    </r>
    <r>
      <rPr>
        <vertAlign val="superscript"/>
        <sz val="10"/>
        <rFont val="Arial"/>
        <family val="2"/>
      </rPr>
      <t>8)</t>
    </r>
  </si>
  <si>
    <t>SN</t>
  </si>
  <si>
    <r>
      <t xml:space="preserve">ST </t>
    </r>
    <r>
      <rPr>
        <vertAlign val="superscript"/>
        <sz val="10"/>
        <rFont val="Arial"/>
        <family val="2"/>
      </rPr>
      <t>9)</t>
    </r>
  </si>
  <si>
    <r>
      <t xml:space="preserve">TH </t>
    </r>
    <r>
      <rPr>
        <vertAlign val="superscript"/>
        <sz val="10"/>
        <rFont val="Arial"/>
        <family val="2"/>
      </rPr>
      <t>9)</t>
    </r>
  </si>
  <si>
    <t>Insg.</t>
  </si>
  <si>
    <t>D</t>
  </si>
  <si>
    <t>Regionen</t>
  </si>
  <si>
    <t>NORD</t>
  </si>
  <si>
    <t>WEST</t>
  </si>
  <si>
    <t>SÜD</t>
  </si>
  <si>
    <t>OST</t>
  </si>
  <si>
    <t>1) Daten bis 1974/75 von der Mühlenstelle Bonn; ab 1975/76 Datengrundlage Getreide-Meldeverordnung.</t>
  </si>
  <si>
    <t>2) Bis 1969/70 Juli/Juni; von 1970/71 bis 1985/86 August/Juli; ab 1986/87 Juli/Juni.</t>
  </si>
  <si>
    <t>3) Ab 1984/85 einschließlich Berlin-West. 1988/89 bis 1990/91  einschließlich Bremen; 1990/91 einschließlich Berlin.</t>
  </si>
  <si>
    <t>4) 1988/89 bis 1990/91 Bremen in 'SH und HH' enthalten.</t>
  </si>
  <si>
    <t>5) Berlin ab 1991/92 in Brandenburg enthalten.</t>
  </si>
  <si>
    <t xml:space="preserve">6) Ab 1982/83 ohne Handelsmühlen mit einer Jahresvermahlung unter 250 t sowie ohne Lohn- und Umtauschmühlen. </t>
  </si>
  <si>
    <t>7) Ab 2000/01 ohne Handelsmühlen mit einer Jahresvermahlung unter 500 t.</t>
  </si>
  <si>
    <t>8) Ab 2008/09 Zusammenfassung von Berlin, Brandenburg und Mecklenburg-Vorpommern.</t>
  </si>
  <si>
    <t>9) Ab 2010/11 Zusammenfassung von Sachsen-Anhalt und Thüringen.</t>
  </si>
  <si>
    <t>10) Ab 2012/13 ohne Handelsmühlen mit einer Jahresvermahlung unter 1.000 t.</t>
  </si>
  <si>
    <t xml:space="preserve">Übersicht 7.1: Vermahlung nach Größenklassen (in 1 000 t) und Gebietsstand  </t>
  </si>
  <si>
    <r>
      <t>zusammen</t>
    </r>
    <r>
      <rPr>
        <vertAlign val="superscript"/>
        <sz val="10"/>
        <rFont val="Arial"/>
        <family val="2"/>
      </rPr>
      <t>3)</t>
    </r>
  </si>
  <si>
    <r>
      <t xml:space="preserve">Früheres Bundesgebiet </t>
    </r>
    <r>
      <rPr>
        <b/>
        <vertAlign val="superscript"/>
        <sz val="10"/>
        <rFont val="Arial"/>
        <family val="2"/>
      </rPr>
      <t>4)</t>
    </r>
  </si>
  <si>
    <r>
      <t xml:space="preserve">Neue Länder </t>
    </r>
    <r>
      <rPr>
        <b/>
        <vertAlign val="superscript"/>
        <sz val="10"/>
        <rFont val="Arial"/>
        <family val="2"/>
      </rPr>
      <t>5)</t>
    </r>
  </si>
  <si>
    <r>
      <t xml:space="preserve"> 2000/01 </t>
    </r>
    <r>
      <rPr>
        <vertAlign val="superscript"/>
        <sz val="10"/>
        <rFont val="Arial"/>
        <family val="2"/>
      </rPr>
      <t>6)</t>
    </r>
  </si>
  <si>
    <r>
      <t xml:space="preserve">Zeitraum </t>
    </r>
    <r>
      <rPr>
        <vertAlign val="superscript"/>
        <sz val="10"/>
        <rFont val="Arial"/>
        <family val="2"/>
      </rPr>
      <t>6)</t>
    </r>
  </si>
  <si>
    <r>
      <t xml:space="preserve"> 2012/13 </t>
    </r>
    <r>
      <rPr>
        <vertAlign val="superscript"/>
        <sz val="10"/>
        <rFont val="Arial"/>
        <family val="2"/>
      </rPr>
      <t>7)</t>
    </r>
  </si>
  <si>
    <t>Übersicht 7.2: Vermahlung nach Größenklassen (in 1 000 t) und Regionen</t>
  </si>
  <si>
    <t xml:space="preserve">2) Ab 1982/83 ohne Handelsmühlen mit einer Jahresvermahlung unter 250 t sowie ohne Lohn- und Umtauschmühlen. </t>
  </si>
  <si>
    <t>3) Die Hartweizenvermahlung wird ab 1990/91 nur in der Gesamtsumme für Deutschland ausgewiesen.</t>
  </si>
  <si>
    <t>4) Einschließlich Berlin-West. 1990/91 einschließlich Berlin. Daten bis 1974/75 von der Mühlenstelle Bonn;</t>
  </si>
  <si>
    <t>5) Anzahl der Mühlen bis 1988/89 mit Handelsmühlen unter 250 t Jahresvermahlung bzw. ohne Vermahlung.</t>
  </si>
  <si>
    <t xml:space="preserve">6) Ab 2000/01 ohne Handelsmühlen mit einer Jahresvermahlung unter 500 t. Neue Größenklassen nach Einführung </t>
  </si>
  <si>
    <t>7) Ab 2012/13 ohne Handelsmühlen mit einer Jahresvermahlung unter 1.000 t.</t>
  </si>
  <si>
    <t>Übersicht 8: Vermahlung von Getreide nach Bundesländern und Regionen (in 1 000 t)</t>
  </si>
  <si>
    <t>Region</t>
  </si>
  <si>
    <t>NI/HB</t>
  </si>
  <si>
    <r>
      <t xml:space="preserve">BE </t>
    </r>
    <r>
      <rPr>
        <vertAlign val="superscript"/>
        <sz val="10"/>
        <rFont val="Arial"/>
        <family val="2"/>
      </rPr>
      <t>3,4)</t>
    </r>
  </si>
  <si>
    <r>
      <t xml:space="preserve"> 1982/83 </t>
    </r>
    <r>
      <rPr>
        <vertAlign val="superscript"/>
        <sz val="10"/>
        <rFont val="Arial"/>
        <family val="2"/>
      </rPr>
      <t>5)</t>
    </r>
  </si>
  <si>
    <t xml:space="preserve"> 2012/13</t>
  </si>
  <si>
    <r>
      <t xml:space="preserve">BB </t>
    </r>
    <r>
      <rPr>
        <vertAlign val="superscript"/>
        <sz val="10"/>
        <rFont val="Arial"/>
        <family val="2"/>
      </rPr>
      <t>4,8,10)</t>
    </r>
  </si>
  <si>
    <r>
      <t xml:space="preserve">D </t>
    </r>
    <r>
      <rPr>
        <vertAlign val="superscript"/>
        <sz val="10"/>
        <rFont val="Arial"/>
        <family val="2"/>
      </rPr>
      <t>6)</t>
    </r>
  </si>
  <si>
    <t>3) Ab 1984/85 bis 1989/90 einschließlich Berlin-West; 1990/91 einschließlich Berlin.</t>
  </si>
  <si>
    <t>4) Berlin ab 1991/92 in Brandenburg enthalten.</t>
  </si>
  <si>
    <t>5) Ab 1982/83 ohne Handelsmühlen mit einer Jahresvermahlung unter 250 t sowie ohne Lohn- und Umtauschmühlen.</t>
  </si>
  <si>
    <t>6) Die Hartweizenvermahlung wird ab 1990/91 nur in der Gesamtsumme für Deutschland ausgewiesen.</t>
  </si>
  <si>
    <t>TH</t>
  </si>
  <si>
    <t xml:space="preserve">Übersicht 9: Vermahlung von Weichweizen für den Export </t>
  </si>
  <si>
    <t>nach Bundesländern und Regionen (in 1 000 t)</t>
  </si>
  <si>
    <t xml:space="preserve">-  </t>
  </si>
  <si>
    <r>
      <t xml:space="preserve"> 2009/10 </t>
    </r>
    <r>
      <rPr>
        <vertAlign val="superscript"/>
        <sz val="10"/>
        <color indexed="8"/>
        <rFont val="Arial"/>
        <family val="2"/>
      </rPr>
      <t>8)</t>
    </r>
  </si>
  <si>
    <t>Zeitraum</t>
  </si>
  <si>
    <r>
      <t xml:space="preserve">BB </t>
    </r>
    <r>
      <rPr>
        <vertAlign val="superscript"/>
        <sz val="10"/>
        <rFont val="Arial"/>
        <family val="2"/>
      </rPr>
      <t>4,7)</t>
    </r>
  </si>
  <si>
    <r>
      <t xml:space="preserve">MV </t>
    </r>
    <r>
      <rPr>
        <vertAlign val="superscript"/>
        <sz val="10"/>
        <rFont val="Arial"/>
        <family val="2"/>
      </rPr>
      <t>7)</t>
    </r>
  </si>
  <si>
    <t xml:space="preserve">ST </t>
  </si>
  <si>
    <r>
      <t xml:space="preserve"> 2000/01 </t>
    </r>
    <r>
      <rPr>
        <vertAlign val="superscript"/>
        <sz val="10"/>
        <rFont val="Arial"/>
        <family val="2"/>
      </rPr>
      <t xml:space="preserve">6) </t>
    </r>
  </si>
  <si>
    <t xml:space="preserve">5) Ab 1982/83 ohne Handelsmühlen mit einer Jahresvermahlung unter 250 t sowie ohne Lohn- und Umtauschmühlen. </t>
  </si>
  <si>
    <t>6) Ab 2000/01 ohne Handelsmühlen mit einer Jahresvermahlung unter 500 t.</t>
  </si>
  <si>
    <t>7) Ab 2008/09 Zusammenfassung von Berlin, Brandenburg und Mecklenburg-Vorpommern.</t>
  </si>
  <si>
    <t>8) Ab 2009/10 ist eine Ausweisung nur nach Regionen möglich.</t>
  </si>
  <si>
    <t>Größenklassen</t>
  </si>
  <si>
    <t>&lt; 1.000 t</t>
  </si>
  <si>
    <t>1.000 t - 5.000 t</t>
  </si>
  <si>
    <t>5.000 t - &lt; 10.000 t</t>
  </si>
  <si>
    <t>10.000 t - &lt; 25.000 t</t>
  </si>
  <si>
    <t>25.000 t - &lt; 50.000 t</t>
  </si>
  <si>
    <t>50.000 t - 
&lt; 100.000 t</t>
  </si>
  <si>
    <t>100.000 t - &lt; 200.000 t</t>
  </si>
  <si>
    <t>&gt; 200.000 t</t>
  </si>
  <si>
    <t>Brotgetreidevermahlung</t>
  </si>
  <si>
    <r>
      <t>Einkauf</t>
    </r>
    <r>
      <rPr>
        <vertAlign val="superscript"/>
        <sz val="10"/>
        <rFont val="Arial"/>
        <family val="2"/>
      </rPr>
      <t>1)</t>
    </r>
  </si>
  <si>
    <r>
      <t>Inland</t>
    </r>
    <r>
      <rPr>
        <vertAlign val="superscript"/>
        <sz val="10"/>
        <rFont val="Arial"/>
        <family val="2"/>
      </rPr>
      <t>3)</t>
    </r>
  </si>
  <si>
    <t>Landwirtschaft</t>
  </si>
  <si>
    <t>Handel</t>
  </si>
  <si>
    <r>
      <t>Ausland</t>
    </r>
    <r>
      <rPr>
        <vertAlign val="superscript"/>
        <sz val="10"/>
        <rFont val="Arial"/>
        <family val="2"/>
      </rPr>
      <t>3)</t>
    </r>
  </si>
  <si>
    <r>
      <t>Sonstiger Zugang</t>
    </r>
    <r>
      <rPr>
        <vertAlign val="superscript"/>
        <sz val="10"/>
        <rFont val="Arial"/>
        <family val="2"/>
      </rPr>
      <t>2)</t>
    </r>
  </si>
  <si>
    <r>
      <t>Inland</t>
    </r>
    <r>
      <rPr>
        <vertAlign val="superscript"/>
        <sz val="10"/>
        <rFont val="Arial"/>
        <family val="2"/>
      </rPr>
      <t>4)</t>
    </r>
  </si>
  <si>
    <r>
      <t>Ausland</t>
    </r>
    <r>
      <rPr>
        <vertAlign val="superscript"/>
        <sz val="10"/>
        <rFont val="Arial"/>
        <family val="2"/>
      </rPr>
      <t>4)</t>
    </r>
  </si>
  <si>
    <t>Fortsetzung nächste Seite</t>
  </si>
  <si>
    <t>DEUTSCHLAND</t>
  </si>
  <si>
    <t>1) Zugang mit Besitz- und Eigentumsübergang.</t>
  </si>
  <si>
    <t>2) Zugang mit Besitzübergang.</t>
  </si>
  <si>
    <t>3) Sitz des Verkäufers.</t>
  </si>
  <si>
    <t>4) Sitz des Versenders.</t>
  </si>
  <si>
    <t>Tabelle 1.2: Zahl der meldepflichtigen Mühlen nach Regionen und Größenklassen</t>
  </si>
  <si>
    <t>Größen-
klassen</t>
  </si>
  <si>
    <t>unter</t>
  </si>
  <si>
    <t>1 000</t>
  </si>
  <si>
    <t>1 000 t</t>
  </si>
  <si>
    <t>INSGESAMT</t>
  </si>
  <si>
    <t>Betriebs-
aufgaben</t>
  </si>
  <si>
    <t>VORJAHR</t>
  </si>
  <si>
    <t>Veränderung</t>
  </si>
  <si>
    <t>Tabelle 2: Vermahlung von Brotgetreide nach Regionen und Größenklassen (in Tonnen)</t>
  </si>
  <si>
    <t>Vermahlung von</t>
  </si>
  <si>
    <t>Anzahl Mühlen</t>
  </si>
  <si>
    <t>Durchschnittl. Vermahlung</t>
  </si>
  <si>
    <t>Tabelle 1.2: Zahl der meldepflichtigen Mühlen nach Bundesländern</t>
  </si>
  <si>
    <t>BB/BE/MV</t>
  </si>
  <si>
    <t>SH/HH</t>
  </si>
  <si>
    <t>ST/TH</t>
  </si>
  <si>
    <r>
      <t>INSGESAMT</t>
    </r>
    <r>
      <rPr>
        <vertAlign val="superscript"/>
        <sz val="10"/>
        <rFont val="Univers"/>
      </rPr>
      <t>1)</t>
    </r>
  </si>
  <si>
    <t>1) Der Vergleich zum Vorjahr ist durch die Anhebung der Grenze zur Meldepflicht beeinflusst und in seiner Aussage eingeschränkt.</t>
  </si>
  <si>
    <t xml:space="preserve">Tabelle 3: Mahlerzeugnisse aus Brotgetreide (in Tonnen), </t>
  </si>
  <si>
    <r>
      <t xml:space="preserve">                   das nach besonderen Regeln erzeugt wurde</t>
    </r>
    <r>
      <rPr>
        <b/>
        <vertAlign val="superscript"/>
        <sz val="12"/>
        <rFont val="Univers"/>
        <family val="2"/>
      </rPr>
      <t>*)</t>
    </r>
    <r>
      <rPr>
        <b/>
        <sz val="12"/>
        <rFont val="Univers"/>
        <family val="2"/>
      </rPr>
      <t>, nach Größenklassen</t>
    </r>
  </si>
  <si>
    <t>Vermahlung nach Größenklassen</t>
  </si>
  <si>
    <t>Meldepflichtige Betriebe insgesamt</t>
  </si>
  <si>
    <t>Betriebe mit Bio-Mehlherstellung</t>
  </si>
  <si>
    <t>Herstellung von Bio-Mehl</t>
  </si>
  <si>
    <t>Marktanteil der Region an Biomehl insgesamt in Prozent</t>
  </si>
  <si>
    <t>Nord / West / Ost</t>
  </si>
  <si>
    <t>unter 5 000 t</t>
  </si>
  <si>
    <t>5 000 t bis
10 000 t</t>
  </si>
  <si>
    <t>10 000 t
und mehr</t>
  </si>
  <si>
    <t>*) Nach VERORDNUNG (EG) Nr. 834/2007 ökologische/biologische Erzeugnisse (Bio-Mehl).</t>
  </si>
  <si>
    <t>Brotgetreide</t>
  </si>
  <si>
    <t>Tabelle 4.1: Inlandsabsatz von Mehl aus Brotgetreide nach Regionen (in Tonnen)</t>
  </si>
  <si>
    <t xml:space="preserve">Zeitraum *) </t>
  </si>
  <si>
    <t>innerhalb d.</t>
  </si>
  <si>
    <t>außerhalb d.</t>
  </si>
  <si>
    <t>Verhältnis</t>
  </si>
  <si>
    <t>Summe</t>
  </si>
  <si>
    <t>eigenen BL</t>
  </si>
  <si>
    <t>in %</t>
  </si>
  <si>
    <t>Absatz</t>
  </si>
  <si>
    <t>40:60</t>
  </si>
  <si>
    <t>83:17</t>
  </si>
  <si>
    <t>39:61</t>
  </si>
  <si>
    <t>80:20</t>
  </si>
  <si>
    <t>44:56</t>
  </si>
  <si>
    <t>81:19</t>
  </si>
  <si>
    <t>45:55</t>
  </si>
  <si>
    <t>82:18</t>
  </si>
  <si>
    <t>46:54</t>
  </si>
  <si>
    <t>79:21</t>
  </si>
  <si>
    <t>78:22</t>
  </si>
  <si>
    <t>77:23</t>
  </si>
  <si>
    <t>54:46</t>
  </si>
  <si>
    <t>67:33</t>
  </si>
  <si>
    <t>53:47</t>
  </si>
  <si>
    <t>52:48</t>
  </si>
  <si>
    <t>55:45</t>
  </si>
  <si>
    <t>51:49</t>
  </si>
  <si>
    <t>49:51</t>
  </si>
  <si>
    <t>50:50</t>
  </si>
  <si>
    <t>57:43</t>
  </si>
  <si>
    <t>47:53</t>
  </si>
  <si>
    <t>66:34</t>
  </si>
  <si>
    <t>64:36</t>
  </si>
  <si>
    <t>65:35</t>
  </si>
  <si>
    <t>68:32</t>
  </si>
  <si>
    <t>*) Ab 2000/01 ohne Handelsmühlen mit einer Jahresvermahlung unter 500 t.</t>
  </si>
  <si>
    <t>*) Ab 2012/13 ohne Handelsmühlen mit einer Jahresvermahlung unter 1.000 t.</t>
  </si>
  <si>
    <t>37:63</t>
  </si>
  <si>
    <t>36:64</t>
  </si>
  <si>
    <t>41:59</t>
  </si>
  <si>
    <t>43:57</t>
  </si>
  <si>
    <t>42:58</t>
  </si>
  <si>
    <t>60:40</t>
  </si>
  <si>
    <t>89:11</t>
  </si>
  <si>
    <t>48:52</t>
  </si>
  <si>
    <t>58:42</t>
  </si>
  <si>
    <t>85:15</t>
  </si>
  <si>
    <t>63:37</t>
  </si>
  <si>
    <t>59:61</t>
  </si>
  <si>
    <t>75:25</t>
  </si>
  <si>
    <t>62:38</t>
  </si>
  <si>
    <t>61:39</t>
  </si>
  <si>
    <t>59:41</t>
  </si>
  <si>
    <t>74:26</t>
  </si>
  <si>
    <t>84:16</t>
  </si>
  <si>
    <t>72:28</t>
  </si>
  <si>
    <t>94:6</t>
  </si>
  <si>
    <t>70:30</t>
  </si>
  <si>
    <t>69:31</t>
  </si>
  <si>
    <t>71:29</t>
  </si>
  <si>
    <t>Tabelle 6.1: Übergebietlicher Absatz und Ausfuhr von Mehl aus Weichweizen (in Tonnen)</t>
  </si>
  <si>
    <t>REGION</t>
  </si>
  <si>
    <t>aus:</t>
  </si>
  <si>
    <t>nach: Region</t>
  </si>
  <si>
    <r>
      <t xml:space="preserve">Ausfuhr </t>
    </r>
    <r>
      <rPr>
        <b/>
        <vertAlign val="superscript"/>
        <sz val="10"/>
        <rFont val="Univers"/>
        <family val="2"/>
      </rPr>
      <t>1)</t>
    </r>
  </si>
  <si>
    <t>SÜDWEST</t>
  </si>
  <si>
    <t>Anm.</t>
  </si>
  <si>
    <t>Einschließlich Absatz im eigenen Bundesland.</t>
  </si>
  <si>
    <t>Region NORD:</t>
  </si>
  <si>
    <t>Schleswig-Holstein, Hamburg, Niedersachsen, Bremen</t>
  </si>
  <si>
    <t>Region SÜDWEST:</t>
  </si>
  <si>
    <t>Nordrhein-Westfalen, Hessen, Rheinland-Pfalz, Saarland, Baden-Württemberg, Bayern</t>
  </si>
  <si>
    <t>Region OST:</t>
  </si>
  <si>
    <t>Berlin, Brandenburg, Mecklenburg-Vorpommern, Sachsen, Sachsen-Anhalt, Thüringen</t>
  </si>
  <si>
    <t>1) Direktausfuhr durch die Mühlen.</t>
  </si>
  <si>
    <t>Tabelle 6.2: Übergebietlicher Absatz und Ausfuhr von Mehl aus Roggen (in Tonnen)</t>
  </si>
  <si>
    <t xml:space="preserve">Tabelle 7: Mahlerzeugnisse aus Brotgetreide (in Tonnen), das nach </t>
  </si>
  <si>
    <r>
      <t>besonderen Regeln erzeugt wurde</t>
    </r>
    <r>
      <rPr>
        <b/>
        <vertAlign val="superscript"/>
        <sz val="12"/>
        <color indexed="8"/>
        <rFont val="Univers"/>
        <family val="2"/>
      </rPr>
      <t>1)</t>
    </r>
    <r>
      <rPr>
        <b/>
        <sz val="12"/>
        <color indexed="8"/>
        <rFont val="Univers"/>
        <family val="2"/>
      </rPr>
      <t xml:space="preserve">, nach Regionen </t>
    </r>
  </si>
  <si>
    <r>
      <t xml:space="preserve">Zeitraum </t>
    </r>
    <r>
      <rPr>
        <vertAlign val="superscript"/>
        <sz val="9"/>
        <color indexed="8"/>
        <rFont val="Univers"/>
        <family val="2"/>
      </rPr>
      <t xml:space="preserve">2) </t>
    </r>
  </si>
  <si>
    <t>Mahlerz. aus</t>
  </si>
  <si>
    <t>Anteil bes.</t>
  </si>
  <si>
    <r>
      <t xml:space="preserve">bes. Getreide </t>
    </r>
    <r>
      <rPr>
        <vertAlign val="superscript"/>
        <sz val="9"/>
        <color indexed="8"/>
        <rFont val="Univers"/>
      </rPr>
      <t>3)</t>
    </r>
  </si>
  <si>
    <t>Getreide in %</t>
  </si>
  <si>
    <t>&lt; 10 000</t>
  </si>
  <si>
    <t>&lt; 0,58</t>
  </si>
  <si>
    <t>&lt; 0,41</t>
  </si>
  <si>
    <t>&lt; 0,57</t>
  </si>
  <si>
    <t>&lt; 15 000</t>
  </si>
  <si>
    <t>&lt; 0,59</t>
  </si>
  <si>
    <t>&lt; 0,60</t>
  </si>
  <si>
    <t>&lt; 13 000</t>
  </si>
  <si>
    <t>&lt; 0,50</t>
  </si>
  <si>
    <r>
      <t xml:space="preserve"> 2012/13 </t>
    </r>
    <r>
      <rPr>
        <vertAlign val="superscript"/>
        <sz val="9"/>
        <color indexed="8"/>
        <rFont val="Univers"/>
      </rPr>
      <t>4)</t>
    </r>
  </si>
  <si>
    <t>&lt; 0,70</t>
  </si>
  <si>
    <t>&lt; 3 000</t>
  </si>
  <si>
    <t>&lt; 0,15</t>
  </si>
  <si>
    <t>&lt; 30 000</t>
  </si>
  <si>
    <t>&lt; 1,38</t>
  </si>
  <si>
    <t>&lt; 0,95</t>
  </si>
  <si>
    <t>&lt; 45 000</t>
  </si>
  <si>
    <t>&lt; 2,09</t>
  </si>
  <si>
    <t>&lt; 40 000</t>
  </si>
  <si>
    <t>&gt; 1,80</t>
  </si>
  <si>
    <t>&lt; 11 000</t>
  </si>
  <si>
    <t>&lt; 0,75</t>
  </si>
  <si>
    <t>&lt; 50 000</t>
  </si>
  <si>
    <t>&lt; 3,00</t>
  </si>
  <si>
    <t>&lt; 0,80</t>
  </si>
  <si>
    <t>Gesamt-</t>
  </si>
  <si>
    <t>vermahlung</t>
  </si>
  <si>
    <t>1) Nach VERORDNUNG (EG) Nr. 834/2007 ökologische/biologische Erzeugnisse.</t>
  </si>
  <si>
    <t>2) Ab 2000/01 ohne Handelsmühlen mit einer Jahresvermahlung unter 500 t.</t>
  </si>
  <si>
    <t>3) Nur Brotgetreide.</t>
  </si>
  <si>
    <t>4) Ab 2012/13 ohne Handelsmühlen mit einer Jahresvermahlung unter 1.000 t.</t>
  </si>
  <si>
    <t xml:space="preserve"> Mahlerzeugnisse aus Weichweizen (in Tonnen)</t>
  </si>
  <si>
    <t>Wirtschaftsjahr</t>
  </si>
  <si>
    <t>Deutschland insgesamt</t>
  </si>
  <si>
    <t>Type 405</t>
  </si>
  <si>
    <t>2008/09</t>
  </si>
  <si>
    <t>Type 550 + 630</t>
  </si>
  <si>
    <t>Type 812</t>
  </si>
  <si>
    <t>Type 1050</t>
  </si>
  <si>
    <t>Type 1600</t>
  </si>
  <si>
    <t>Exportmehle</t>
  </si>
  <si>
    <t>Vollkornmehl und -schrot</t>
  </si>
  <si>
    <t>Backschrot, Type 1700</t>
  </si>
  <si>
    <t>Grieß und Dunst</t>
  </si>
  <si>
    <t xml:space="preserve">Summe der Mahlerzeugnisse aus Weichweizen </t>
  </si>
  <si>
    <r>
      <t xml:space="preserve">2012/13 </t>
    </r>
    <r>
      <rPr>
        <vertAlign val="superscript"/>
        <sz val="8"/>
        <rFont val="Univers"/>
      </rPr>
      <t>1)</t>
    </r>
  </si>
  <si>
    <t>1) Einschließlich Mehl für Stärkeherstellung</t>
  </si>
  <si>
    <t>Tabelle 8: Mehlherstellung nach Mehltypen und Regionen</t>
  </si>
  <si>
    <t>Tabelle 9.2: Mehlherstellung nach Mehltypen und Regionen</t>
  </si>
  <si>
    <t xml:space="preserve">   Mahlerzeugnisse aus Roggen (in Tonnen)</t>
  </si>
  <si>
    <t>Wirtschafts-jahre</t>
  </si>
  <si>
    <t>Type 815</t>
  </si>
  <si>
    <t>Type 997</t>
  </si>
  <si>
    <t>Type 1150</t>
  </si>
  <si>
    <t>Type 1370</t>
  </si>
  <si>
    <t>Type 1740</t>
  </si>
  <si>
    <t>Backschrot Type 1800</t>
  </si>
  <si>
    <t>Summe der Mahlerzeugnisse aus Roggen</t>
  </si>
  <si>
    <t>Tabelle 10: Mahlerzeugnisse aus Hartweizen (in Tonnen)</t>
  </si>
  <si>
    <t>Erzeugnis</t>
  </si>
  <si>
    <t>Hartweizenmehl Type 1600</t>
  </si>
  <si>
    <t>Grieß</t>
  </si>
  <si>
    <t>Dunst</t>
  </si>
  <si>
    <t>Tabelle 4.2: Inlandsabsatz von Mehl aus Weichweizen nach Regionen (in Tonnen)</t>
  </si>
  <si>
    <t>Tabelle 4.3: Inlandsabsatz von Mehl aus Roggen nach Regionen (in Tonnen)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</si>
</sst>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#\ ###\ ##0&quot; t&quot;"/>
    <numFmt numFmtId="165" formatCode="0.0%"/>
    <numFmt numFmtId="166" formatCode="0.0"/>
    <numFmt numFmtId="167" formatCode="#,##0_);\(#,##0\)"/>
    <numFmt numFmtId="168" formatCode="#,##0.0_);\(#,##0.0\)"/>
    <numFmt numFmtId="169" formatCode="#\ ###\ ##0"/>
    <numFmt numFmtId="170" formatCode="#,##0.0\ _€;\-#,##0.0\ _€"/>
    <numFmt numFmtId="171" formatCode="#,##0.000\ _€;\-#,##0.000\ _€"/>
    <numFmt numFmtId="172" formatCode="#,##0.0000\ _€;\-#,##0.0000\ _€"/>
    <numFmt numFmtId="173" formatCode="#,##0;\(#,##0\)"/>
    <numFmt numFmtId="174" formatCode="#\ ###\ ##0_);\-#\ ###\ ##0_)"/>
    <numFmt numFmtId="175" formatCode="#\ ###\ ##0_);\(#\ ##0\)"/>
    <numFmt numFmtId="176" formatCode="#,##0__"/>
    <numFmt numFmtId="177" formatCode="#,##0.000_);\(#,##0.000\)"/>
    <numFmt numFmtId="178" formatCode="#\ ##0__"/>
    <numFmt numFmtId="179" formatCode="0__"/>
    <numFmt numFmtId="180" formatCode="#\ ##0_);\(#\ ##0\)"/>
    <numFmt numFmtId="181" formatCode="#,##0.00_);\(#,##0.00\)"/>
    <numFmt numFmtId="182" formatCode=".\ ##_);\(.\ ##\ȩ"/>
    <numFmt numFmtId="183" formatCode="#,##0_)"/>
    <numFmt numFmtId="184" formatCode="#\ ###\ ##0_)"/>
    <numFmt numFmtId="185" formatCode="#\ ##0_)"/>
    <numFmt numFmtId="186" formatCode="0&quot;$&quot;;\ \-0&quot;$&quot;"/>
  </numFmts>
  <fonts count="7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Univers (WN)"/>
    </font>
    <font>
      <b/>
      <sz val="12"/>
      <name val="Univers (WN)"/>
    </font>
    <font>
      <b/>
      <sz val="14"/>
      <name val="Univers (WN)"/>
    </font>
    <font>
      <b/>
      <sz val="10"/>
      <name val="Univers (WN)"/>
    </font>
    <font>
      <sz val="10"/>
      <color theme="1"/>
      <name val="Univers (Wn)"/>
    </font>
    <font>
      <vertAlign val="superscript"/>
      <sz val="10"/>
      <name val="Univers (WN)"/>
    </font>
    <font>
      <sz val="8"/>
      <name val="Univers (WN)"/>
      <family val="2"/>
    </font>
    <font>
      <sz val="10"/>
      <name val="Univers"/>
      <family val="2"/>
    </font>
    <font>
      <sz val="8"/>
      <name val="Univers (WN)"/>
    </font>
    <font>
      <vertAlign val="superscript"/>
      <sz val="10"/>
      <name val="Univers (WN)"/>
      <family val="2"/>
    </font>
    <font>
      <b/>
      <vertAlign val="superscript"/>
      <sz val="10"/>
      <name val="Univers (WN)"/>
      <family val="2"/>
    </font>
    <font>
      <sz val="10"/>
      <color rgb="FFFF0000"/>
      <name val="Univers (WN)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Univers (WN)"/>
      <family val="2"/>
    </font>
    <font>
      <sz val="9"/>
      <name val="Arial"/>
      <family val="2"/>
    </font>
    <font>
      <b/>
      <sz val="12"/>
      <name val="Univers (WN)"/>
      <family val="2"/>
    </font>
    <font>
      <b/>
      <sz val="10"/>
      <color indexed="10"/>
      <name val="Univers (WN)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4"/>
      <name val="Arial"/>
      <family val="2"/>
    </font>
    <font>
      <b/>
      <sz val="10"/>
      <name val="Univers"/>
      <family val="2"/>
    </font>
    <font>
      <vertAlign val="superscript"/>
      <sz val="10"/>
      <name val="Univers"/>
    </font>
    <font>
      <b/>
      <sz val="12"/>
      <name val="Univers"/>
      <family val="2"/>
    </font>
    <font>
      <sz val="11"/>
      <name val="Calibri"/>
      <family val="2"/>
      <scheme val="minor"/>
    </font>
    <font>
      <b/>
      <vertAlign val="superscript"/>
      <sz val="12"/>
      <name val="Univers"/>
      <family val="2"/>
    </font>
    <font>
      <b/>
      <sz val="11"/>
      <name val="Calibri"/>
      <family val="2"/>
      <scheme val="minor"/>
    </font>
    <font>
      <sz val="8"/>
      <name val="Univers"/>
      <family val="2"/>
    </font>
    <font>
      <b/>
      <sz val="12"/>
      <color theme="1"/>
      <name val="Univers"/>
      <family val="2"/>
    </font>
    <font>
      <sz val="9"/>
      <color theme="1"/>
      <name val="Univers"/>
      <family val="2"/>
    </font>
    <font>
      <sz val="9"/>
      <color theme="1"/>
      <name val="Calibri"/>
      <family val="2"/>
      <scheme val="minor"/>
    </font>
    <font>
      <b/>
      <sz val="9"/>
      <color theme="1"/>
      <name val="Univers"/>
      <family val="2"/>
    </font>
    <font>
      <sz val="8"/>
      <color theme="1"/>
      <name val="Univers"/>
      <family val="2"/>
    </font>
    <font>
      <sz val="11"/>
      <color theme="1"/>
      <name val="Univers"/>
      <family val="2"/>
    </font>
    <font>
      <b/>
      <vertAlign val="superscript"/>
      <sz val="10"/>
      <name val="Univers"/>
      <family val="2"/>
    </font>
    <font>
      <b/>
      <sz val="10"/>
      <name val="Times New Roman"/>
      <family val="1"/>
    </font>
    <font>
      <sz val="10"/>
      <color theme="1"/>
      <name val="Univers"/>
      <family val="2"/>
    </font>
    <font>
      <b/>
      <vertAlign val="superscript"/>
      <sz val="12"/>
      <color indexed="8"/>
      <name val="Univers"/>
      <family val="2"/>
    </font>
    <font>
      <b/>
      <sz val="12"/>
      <color indexed="8"/>
      <name val="Univers"/>
      <family val="2"/>
    </font>
    <font>
      <vertAlign val="superscript"/>
      <sz val="9"/>
      <color indexed="8"/>
      <name val="Univers"/>
      <family val="2"/>
    </font>
    <font>
      <vertAlign val="superscript"/>
      <sz val="9"/>
      <color indexed="8"/>
      <name val="Univers"/>
    </font>
    <font>
      <sz val="9"/>
      <name val="Univers"/>
      <family val="2"/>
    </font>
    <font>
      <sz val="9.5"/>
      <color theme="1"/>
      <name val="Univers"/>
      <family val="2"/>
    </font>
    <font>
      <sz val="9.5"/>
      <color rgb="FFFF000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Univers"/>
      <family val="2"/>
    </font>
    <font>
      <vertAlign val="superscript"/>
      <sz val="8"/>
      <name val="Univer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7" fontId="7" fillId="0" borderId="0"/>
    <xf numFmtId="9" fontId="7" fillId="0" borderId="0" applyFont="0" applyFill="0" applyBorder="0" applyAlignment="0" applyProtection="0"/>
    <xf numFmtId="37" fontId="7" fillId="0" borderId="0"/>
    <xf numFmtId="0" fontId="19" fillId="0" borderId="0"/>
    <xf numFmtId="0" fontId="23" fillId="0" borderId="0"/>
    <xf numFmtId="167" fontId="36" fillId="0" borderId="0"/>
    <xf numFmtId="37" fontId="36" fillId="0" borderId="0"/>
    <xf numFmtId="0" fontId="7" fillId="0" borderId="0"/>
    <xf numFmtId="0" fontId="7" fillId="0" borderId="0"/>
    <xf numFmtId="0" fontId="1" fillId="0" borderId="0"/>
    <xf numFmtId="0" fontId="72" fillId="0" borderId="0"/>
  </cellStyleXfs>
  <cellXfs count="1314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5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0" fillId="0" borderId="0" xfId="0" applyNumberFormat="1" applyFill="1"/>
    <xf numFmtId="0" fontId="5" fillId="0" borderId="7" xfId="0" applyFont="1" applyFill="1" applyBorder="1"/>
    <xf numFmtId="9" fontId="5" fillId="0" borderId="6" xfId="0" applyNumberFormat="1" applyFont="1" applyFill="1" applyBorder="1"/>
    <xf numFmtId="0" fontId="3" fillId="0" borderId="0" xfId="0" applyFont="1" applyFill="1"/>
    <xf numFmtId="164" fontId="5" fillId="0" borderId="0" xfId="0" applyNumberFormat="1" applyFont="1" applyFill="1" applyBorder="1"/>
    <xf numFmtId="164" fontId="0" fillId="0" borderId="0" xfId="0" applyNumberFormat="1" applyFill="1"/>
    <xf numFmtId="10" fontId="0" fillId="0" borderId="0" xfId="0" applyNumberFormat="1" applyFill="1"/>
    <xf numFmtId="0" fontId="0" fillId="0" borderId="6" xfId="0" applyFill="1" applyBorder="1"/>
    <xf numFmtId="165" fontId="5" fillId="0" borderId="6" xfId="0" applyNumberFormat="1" applyFont="1" applyFill="1" applyBorder="1"/>
    <xf numFmtId="166" fontId="0" fillId="0" borderId="0" xfId="0" applyNumberFormat="1" applyFill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164" fontId="5" fillId="0" borderId="9" xfId="0" applyNumberFormat="1" applyFont="1" applyFill="1" applyBorder="1"/>
    <xf numFmtId="167" fontId="8" fillId="0" borderId="0" xfId="1" applyFont="1" applyFill="1" applyBorder="1" applyAlignment="1" applyProtection="1">
      <alignment horizontal="left"/>
    </xf>
    <xf numFmtId="167" fontId="9" fillId="0" borderId="0" xfId="1" applyFont="1" applyFill="1" applyBorder="1" applyAlignment="1" applyProtection="1">
      <alignment horizontal="left"/>
    </xf>
    <xf numFmtId="167" fontId="7" fillId="0" borderId="0" xfId="1" applyFill="1" applyBorder="1"/>
    <xf numFmtId="167" fontId="7" fillId="0" borderId="0" xfId="1" applyFill="1"/>
    <xf numFmtId="167" fontId="7" fillId="0" borderId="11" xfId="1" applyFill="1" applyBorder="1"/>
    <xf numFmtId="167" fontId="7" fillId="0" borderId="2" xfId="1" applyFill="1" applyBorder="1"/>
    <xf numFmtId="3" fontId="7" fillId="0" borderId="1" xfId="1" applyNumberFormat="1" applyFont="1" applyFill="1" applyBorder="1" applyAlignment="1" applyProtection="1">
      <alignment horizontal="center"/>
    </xf>
    <xf numFmtId="3" fontId="7" fillId="0" borderId="2" xfId="1" applyNumberFormat="1" applyFill="1" applyBorder="1" applyAlignment="1" applyProtection="1">
      <alignment horizontal="center"/>
    </xf>
    <xf numFmtId="167" fontId="7" fillId="0" borderId="11" xfId="1" applyFill="1" applyBorder="1" applyAlignment="1">
      <alignment horizontal="center"/>
    </xf>
    <xf numFmtId="168" fontId="7" fillId="0" borderId="0" xfId="1" applyNumberFormat="1" applyFill="1"/>
    <xf numFmtId="167" fontId="7" fillId="0" borderId="12" xfId="1" applyFill="1" applyBorder="1" applyAlignment="1" applyProtection="1">
      <alignment horizontal="center"/>
    </xf>
    <xf numFmtId="167" fontId="7" fillId="0" borderId="0" xfId="1" applyFill="1" applyBorder="1" applyAlignment="1" applyProtection="1">
      <alignment horizontal="center"/>
    </xf>
    <xf numFmtId="167" fontId="7" fillId="0" borderId="7" xfId="1" applyFill="1" applyBorder="1" applyAlignment="1" applyProtection="1">
      <alignment horizontal="center"/>
    </xf>
    <xf numFmtId="3" fontId="7" fillId="0" borderId="0" xfId="1" applyNumberFormat="1" applyFill="1" applyBorder="1" applyAlignment="1" applyProtection="1">
      <alignment horizontal="center"/>
    </xf>
    <xf numFmtId="167" fontId="7" fillId="0" borderId="12" xfId="1" applyFill="1" applyBorder="1"/>
    <xf numFmtId="167" fontId="7" fillId="0" borderId="12" xfId="1" applyFill="1" applyBorder="1" applyAlignment="1">
      <alignment horizontal="center"/>
    </xf>
    <xf numFmtId="167" fontId="7" fillId="0" borderId="13" xfId="1" applyFill="1" applyBorder="1" applyAlignment="1" applyProtection="1">
      <alignment horizontal="left"/>
    </xf>
    <xf numFmtId="167" fontId="7" fillId="0" borderId="9" xfId="1" applyFill="1" applyBorder="1" applyAlignment="1" applyProtection="1">
      <alignment horizontal="left"/>
    </xf>
    <xf numFmtId="3" fontId="7" fillId="0" borderId="8" xfId="1" applyNumberFormat="1" applyFill="1" applyBorder="1" applyAlignment="1" applyProtection="1">
      <alignment horizontal="center"/>
    </xf>
    <xf numFmtId="3" fontId="7" fillId="0" borderId="9" xfId="1" applyNumberFormat="1" applyFill="1" applyBorder="1" applyAlignment="1" applyProtection="1">
      <alignment horizontal="center"/>
    </xf>
    <xf numFmtId="167" fontId="7" fillId="0" borderId="9" xfId="1" applyFill="1" applyBorder="1" applyAlignment="1" applyProtection="1">
      <alignment horizontal="center"/>
    </xf>
    <xf numFmtId="167" fontId="7" fillId="0" borderId="13" xfId="1" applyFill="1" applyBorder="1"/>
    <xf numFmtId="167" fontId="7" fillId="0" borderId="12" xfId="1" applyFill="1" applyBorder="1" applyAlignment="1" applyProtection="1">
      <alignment horizontal="left" vertical="center"/>
    </xf>
    <xf numFmtId="167" fontId="7" fillId="0" borderId="11" xfId="1" applyFill="1" applyBorder="1" applyAlignment="1" applyProtection="1">
      <alignment horizontal="left" vertical="center"/>
    </xf>
    <xf numFmtId="167" fontId="10" fillId="0" borderId="0" xfId="1" applyFont="1" applyFill="1" applyBorder="1" applyAlignment="1" applyProtection="1">
      <alignment horizontal="centerContinuous" vertical="center"/>
    </xf>
    <xf numFmtId="166" fontId="7" fillId="0" borderId="11" xfId="2" applyNumberFormat="1" applyFill="1" applyBorder="1" applyAlignment="1">
      <alignment horizontal="centerContinuous"/>
    </xf>
    <xf numFmtId="167" fontId="7" fillId="0" borderId="0" xfId="1" applyFill="1" applyAlignment="1">
      <alignment vertical="center"/>
    </xf>
    <xf numFmtId="167" fontId="7" fillId="0" borderId="7" xfId="1" quotePrefix="1" applyFill="1" applyBorder="1" applyAlignment="1" applyProtection="1">
      <alignment horizontal="left" vertical="top"/>
    </xf>
    <xf numFmtId="167" fontId="7" fillId="0" borderId="12" xfId="1" applyFill="1" applyBorder="1" applyAlignment="1" applyProtection="1">
      <alignment horizontal="left" vertical="top"/>
    </xf>
    <xf numFmtId="167" fontId="7" fillId="0" borderId="0" xfId="1" applyFont="1" applyFill="1" applyBorder="1" applyAlignment="1" applyProtection="1">
      <alignment vertical="top"/>
    </xf>
    <xf numFmtId="167" fontId="7" fillId="0" borderId="0" xfId="1" applyFont="1" applyFill="1" applyBorder="1" applyProtection="1"/>
    <xf numFmtId="167" fontId="7" fillId="0" borderId="12" xfId="1" applyFont="1" applyFill="1" applyBorder="1"/>
    <xf numFmtId="1" fontId="7" fillId="0" borderId="6" xfId="2" applyNumberFormat="1" applyFont="1" applyFill="1" applyBorder="1"/>
    <xf numFmtId="165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Protection="1"/>
    <xf numFmtId="167" fontId="7" fillId="0" borderId="7" xfId="1" applyFill="1" applyBorder="1"/>
    <xf numFmtId="167" fontId="7" fillId="0" borderId="12" xfId="1" applyFill="1" applyBorder="1" applyAlignment="1">
      <alignment wrapText="1"/>
    </xf>
    <xf numFmtId="169" fontId="7" fillId="0" borderId="0" xfId="1" applyNumberFormat="1" applyFill="1" applyBorder="1" applyAlignment="1"/>
    <xf numFmtId="169" fontId="11" fillId="0" borderId="0" xfId="1" applyNumberFormat="1" applyFont="1" applyFill="1" applyBorder="1" applyAlignment="1"/>
    <xf numFmtId="169" fontId="7" fillId="0" borderId="0" xfId="1" applyNumberFormat="1" applyFont="1" applyFill="1" applyBorder="1" applyAlignment="1" applyProtection="1"/>
    <xf numFmtId="169" fontId="7" fillId="0" borderId="12" xfId="1" applyNumberFormat="1" applyFont="1" applyFill="1" applyBorder="1" applyAlignment="1"/>
    <xf numFmtId="169" fontId="7" fillId="0" borderId="6" xfId="2" applyNumberFormat="1" applyFont="1" applyFill="1" applyBorder="1" applyAlignment="1"/>
    <xf numFmtId="167" fontId="7" fillId="0" borderId="8" xfId="1" applyFill="1" applyBorder="1"/>
    <xf numFmtId="165" fontId="7" fillId="0" borderId="9" xfId="2" applyNumberFormat="1" applyFont="1" applyFill="1" applyBorder="1"/>
    <xf numFmtId="165" fontId="7" fillId="0" borderId="9" xfId="2" applyNumberFormat="1" applyFont="1" applyFill="1" applyBorder="1" applyAlignment="1" applyProtection="1">
      <alignment vertical="top"/>
    </xf>
    <xf numFmtId="165" fontId="7" fillId="0" borderId="10" xfId="2" applyNumberFormat="1" applyFont="1" applyFill="1" applyBorder="1"/>
    <xf numFmtId="169" fontId="7" fillId="0" borderId="14" xfId="1" applyNumberFormat="1" applyFill="1" applyBorder="1"/>
    <xf numFmtId="169" fontId="7" fillId="0" borderId="15" xfId="1" applyNumberFormat="1" applyFill="1" applyBorder="1"/>
    <xf numFmtId="167" fontId="7" fillId="0" borderId="11" xfId="1" applyFont="1" applyFill="1" applyBorder="1"/>
    <xf numFmtId="1" fontId="7" fillId="0" borderId="0" xfId="1" applyNumberFormat="1" applyFill="1"/>
    <xf numFmtId="37" fontId="8" fillId="0" borderId="0" xfId="3" applyFont="1" applyFill="1" applyAlignment="1" applyProtection="1">
      <alignment horizontal="left"/>
    </xf>
    <xf numFmtId="37" fontId="7" fillId="0" borderId="0" xfId="3" applyFill="1"/>
    <xf numFmtId="37" fontId="8" fillId="0" borderId="0" xfId="3" applyFont="1" applyFill="1"/>
    <xf numFmtId="37" fontId="8" fillId="0" borderId="0" xfId="3" quotePrefix="1" applyFont="1" applyFill="1"/>
    <xf numFmtId="37" fontId="7" fillId="0" borderId="1" xfId="3" applyFill="1" applyBorder="1"/>
    <xf numFmtId="37" fontId="7" fillId="0" borderId="11" xfId="3" applyFill="1" applyBorder="1" applyAlignment="1" applyProtection="1">
      <alignment horizontal="center"/>
    </xf>
    <xf numFmtId="37" fontId="7" fillId="0" borderId="14" xfId="3" applyFill="1" applyBorder="1" applyAlignment="1" applyProtection="1">
      <alignment horizontal="centerContinuous"/>
    </xf>
    <xf numFmtId="37" fontId="7" fillId="0" borderId="14" xfId="3" applyFill="1" applyBorder="1" applyAlignment="1">
      <alignment horizontal="centerContinuous"/>
    </xf>
    <xf numFmtId="37" fontId="7" fillId="0" borderId="7" xfId="3" applyFill="1" applyBorder="1" applyAlignment="1" applyProtection="1">
      <alignment horizontal="center"/>
    </xf>
    <xf numFmtId="37" fontId="7" fillId="0" borderId="12" xfId="3" applyFill="1" applyBorder="1" applyAlignment="1" applyProtection="1">
      <alignment horizontal="center"/>
    </xf>
    <xf numFmtId="37" fontId="7" fillId="0" borderId="0" xfId="3" applyFill="1" applyBorder="1" applyAlignment="1" applyProtection="1">
      <alignment horizontal="center"/>
    </xf>
    <xf numFmtId="37" fontId="7" fillId="0" borderId="6" xfId="3" applyFill="1" applyBorder="1" applyAlignment="1" applyProtection="1">
      <alignment horizontal="center"/>
    </xf>
    <xf numFmtId="37" fontId="7" fillId="0" borderId="8" xfId="3" applyFill="1" applyBorder="1" applyAlignment="1" applyProtection="1">
      <alignment horizontal="right"/>
    </xf>
    <xf numFmtId="37" fontId="7" fillId="0" borderId="13" xfId="3" applyFill="1" applyBorder="1" applyAlignment="1" applyProtection="1">
      <alignment horizontal="center"/>
    </xf>
    <xf numFmtId="37" fontId="7" fillId="0" borderId="9" xfId="3" applyFill="1" applyBorder="1" applyAlignment="1" applyProtection="1">
      <alignment horizontal="center"/>
    </xf>
    <xf numFmtId="37" fontId="7" fillId="0" borderId="10" xfId="3" applyFill="1" applyBorder="1" applyAlignment="1" applyProtection="1">
      <alignment horizontal="center"/>
    </xf>
    <xf numFmtId="37" fontId="7" fillId="0" borderId="7" xfId="3" applyFill="1" applyBorder="1" applyAlignment="1">
      <alignment vertical="center"/>
    </xf>
    <xf numFmtId="37" fontId="7" fillId="0" borderId="12" xfId="3" applyFill="1" applyBorder="1" applyAlignment="1">
      <alignment vertical="center"/>
    </xf>
    <xf numFmtId="37" fontId="10" fillId="0" borderId="0" xfId="3" applyFont="1" applyFill="1" applyBorder="1" applyAlignment="1" applyProtection="1">
      <alignment horizontal="centerContinuous" vertical="center"/>
    </xf>
    <xf numFmtId="37" fontId="7" fillId="0" borderId="0" xfId="3" applyFill="1" applyBorder="1" applyAlignment="1">
      <alignment horizontal="centerContinuous" vertical="center"/>
    </xf>
    <xf numFmtId="37" fontId="7" fillId="0" borderId="0" xfId="3" applyFill="1" applyAlignment="1">
      <alignment vertical="center"/>
    </xf>
    <xf numFmtId="37" fontId="7" fillId="0" borderId="7" xfId="3" applyFill="1" applyBorder="1" applyAlignment="1" applyProtection="1">
      <alignment horizontal="left"/>
    </xf>
    <xf numFmtId="169" fontId="7" fillId="0" borderId="12" xfId="3" applyNumberFormat="1" applyFill="1" applyBorder="1" applyProtection="1"/>
    <xf numFmtId="169" fontId="7" fillId="0" borderId="0" xfId="3" applyNumberFormat="1" applyFill="1" applyBorder="1" applyProtection="1"/>
    <xf numFmtId="37" fontId="7" fillId="0" borderId="7" xfId="3" applyFill="1" applyBorder="1" applyAlignment="1">
      <alignment horizontal="left"/>
    </xf>
    <xf numFmtId="169" fontId="7" fillId="0" borderId="12" xfId="3" applyNumberFormat="1" applyFill="1" applyBorder="1"/>
    <xf numFmtId="169" fontId="7" fillId="0" borderId="0" xfId="3" applyNumberFormat="1" applyFill="1" applyBorder="1"/>
    <xf numFmtId="169" fontId="7" fillId="0" borderId="12" xfId="3" applyNumberFormat="1" applyFill="1" applyBorder="1" applyAlignment="1" applyProtection="1">
      <alignment horizontal="right"/>
    </xf>
    <xf numFmtId="169" fontId="10" fillId="0" borderId="0" xfId="3" applyNumberFormat="1" applyFont="1" applyFill="1" applyBorder="1" applyAlignment="1" applyProtection="1">
      <alignment horizontal="centerContinuous" vertical="center"/>
    </xf>
    <xf numFmtId="169" fontId="7" fillId="0" borderId="0" xfId="3" applyNumberFormat="1" applyFill="1" applyBorder="1" applyAlignment="1">
      <alignment horizontal="centerContinuous"/>
    </xf>
    <xf numFmtId="169" fontId="7" fillId="0" borderId="0" xfId="3" applyNumberFormat="1" applyFill="1" applyBorder="1" applyAlignment="1" applyProtection="1">
      <alignment horizontal="right" vertical="top"/>
    </xf>
    <xf numFmtId="169" fontId="7" fillId="0" borderId="12" xfId="3" applyNumberFormat="1" applyFill="1" applyBorder="1" applyAlignment="1" applyProtection="1">
      <alignment horizontal="right" vertical="top"/>
    </xf>
    <xf numFmtId="169" fontId="7" fillId="0" borderId="0" xfId="3" applyNumberFormat="1" applyFill="1" applyBorder="1" applyAlignment="1" applyProtection="1">
      <alignment horizontal="centerContinuous"/>
    </xf>
    <xf numFmtId="169" fontId="7" fillId="0" borderId="0" xfId="3" applyNumberFormat="1" applyFont="1" applyFill="1" applyBorder="1" applyAlignment="1" applyProtection="1"/>
    <xf numFmtId="37" fontId="7" fillId="0" borderId="12" xfId="3" applyFill="1" applyBorder="1" applyAlignment="1" applyProtection="1">
      <alignment horizontal="left"/>
    </xf>
    <xf numFmtId="37" fontId="7" fillId="0" borderId="7" xfId="3" applyFill="1" applyBorder="1" applyAlignment="1" applyProtection="1">
      <alignment horizontal="left" vertical="top"/>
    </xf>
    <xf numFmtId="169" fontId="7" fillId="0" borderId="12" xfId="3" applyNumberFormat="1" applyFill="1" applyBorder="1" applyAlignment="1" applyProtection="1">
      <alignment vertical="top"/>
    </xf>
    <xf numFmtId="169" fontId="7" fillId="0" borderId="0" xfId="3" applyNumberFormat="1" applyFill="1" applyBorder="1" applyAlignment="1" applyProtection="1">
      <alignment vertical="top"/>
    </xf>
    <xf numFmtId="169" fontId="7" fillId="0" borderId="0" xfId="3" applyNumberFormat="1" applyFill="1" applyBorder="1" applyAlignment="1">
      <alignment vertical="top"/>
    </xf>
    <xf numFmtId="37" fontId="7" fillId="0" borderId="12" xfId="3" quotePrefix="1" applyFill="1" applyBorder="1" applyAlignment="1" applyProtection="1">
      <alignment horizontal="left" vertical="top"/>
    </xf>
    <xf numFmtId="169" fontId="7" fillId="0" borderId="12" xfId="3" applyNumberFormat="1" applyFill="1" applyBorder="1" applyAlignment="1" applyProtection="1"/>
    <xf numFmtId="169" fontId="7" fillId="0" borderId="0" xfId="3" applyNumberFormat="1" applyFill="1" applyBorder="1" applyAlignment="1" applyProtection="1"/>
    <xf numFmtId="169" fontId="7" fillId="0" borderId="0" xfId="3" applyNumberFormat="1" applyFill="1" applyBorder="1" applyAlignment="1"/>
    <xf numFmtId="169" fontId="7" fillId="0" borderId="6" xfId="3" applyNumberFormat="1" applyFont="1" applyFill="1" applyBorder="1" applyAlignment="1" applyProtection="1"/>
    <xf numFmtId="169" fontId="7" fillId="0" borderId="7" xfId="3" applyNumberFormat="1" applyFill="1" applyBorder="1" applyAlignment="1" applyProtection="1"/>
    <xf numFmtId="169" fontId="7" fillId="0" borderId="6" xfId="3" applyNumberFormat="1" applyFill="1" applyBorder="1" applyAlignment="1" applyProtection="1"/>
    <xf numFmtId="37" fontId="11" fillId="0" borderId="0" xfId="3" applyFont="1" applyFill="1"/>
    <xf numFmtId="37" fontId="18" fillId="0" borderId="0" xfId="3" applyFont="1" applyFill="1"/>
    <xf numFmtId="169" fontId="7" fillId="0" borderId="7" xfId="3" applyNumberFormat="1" applyFont="1" applyFill="1" applyBorder="1" applyAlignment="1" applyProtection="1"/>
    <xf numFmtId="169" fontId="7" fillId="0" borderId="0" xfId="3" applyNumberFormat="1" applyFont="1" applyFill="1" applyBorder="1" applyAlignment="1"/>
    <xf numFmtId="37" fontId="7" fillId="0" borderId="0" xfId="3" applyFill="1" applyBorder="1"/>
    <xf numFmtId="169" fontId="7" fillId="0" borderId="12" xfId="3" applyNumberFormat="1" applyFont="1" applyFill="1" applyBorder="1" applyAlignment="1" applyProtection="1"/>
    <xf numFmtId="171" fontId="7" fillId="0" borderId="0" xfId="3" applyNumberFormat="1" applyFill="1" applyBorder="1"/>
    <xf numFmtId="37" fontId="7" fillId="0" borderId="13" xfId="3" quotePrefix="1" applyFill="1" applyBorder="1" applyAlignment="1" applyProtection="1">
      <alignment horizontal="left" vertical="top"/>
    </xf>
    <xf numFmtId="169" fontId="7" fillId="0" borderId="13" xfId="3" applyNumberFormat="1" applyFill="1" applyBorder="1" applyAlignment="1" applyProtection="1"/>
    <xf numFmtId="169" fontId="7" fillId="0" borderId="9" xfId="3" applyNumberFormat="1" applyFont="1" applyFill="1" applyBorder="1" applyAlignment="1" applyProtection="1"/>
    <xf numFmtId="169" fontId="7" fillId="0" borderId="10" xfId="3" applyNumberFormat="1" applyFont="1" applyFill="1" applyBorder="1" applyAlignment="1" applyProtection="1"/>
    <xf numFmtId="169" fontId="7" fillId="0" borderId="13" xfId="3" applyNumberFormat="1" applyFont="1" applyFill="1" applyBorder="1" applyAlignment="1" applyProtection="1"/>
    <xf numFmtId="170" fontId="7" fillId="0" borderId="0" xfId="3" applyNumberFormat="1" applyFill="1"/>
    <xf numFmtId="37" fontId="7" fillId="0" borderId="0" xfId="3" quotePrefix="1" applyFill="1" applyBorder="1" applyAlignment="1" applyProtection="1">
      <alignment horizontal="left" vertical="top"/>
    </xf>
    <xf numFmtId="166" fontId="7" fillId="0" borderId="0" xfId="3" applyNumberFormat="1" applyFont="1" applyFill="1" applyBorder="1" applyAlignment="1" applyProtection="1"/>
    <xf numFmtId="37" fontId="7" fillId="0" borderId="0" xfId="3" applyFill="1" applyBorder="1" applyAlignment="1" applyProtection="1">
      <alignment horizontal="left" vertical="top"/>
    </xf>
    <xf numFmtId="169" fontId="8" fillId="0" borderId="0" xfId="3" quotePrefix="1" applyNumberFormat="1" applyFont="1" applyFill="1" applyBorder="1" applyAlignment="1" applyProtection="1">
      <alignment horizontal="left" vertical="top"/>
    </xf>
    <xf numFmtId="169" fontId="10" fillId="0" borderId="0" xfId="3" applyNumberFormat="1" applyFont="1" applyFill="1" applyBorder="1" applyAlignment="1" applyProtection="1"/>
    <xf numFmtId="172" fontId="7" fillId="0" borderId="0" xfId="3" applyNumberFormat="1" applyFill="1" applyBorder="1"/>
    <xf numFmtId="169" fontId="7" fillId="0" borderId="11" xfId="3" applyNumberFormat="1" applyFill="1" applyBorder="1" applyAlignment="1" applyProtection="1">
      <alignment horizontal="center"/>
    </xf>
    <xf numFmtId="169" fontId="7" fillId="0" borderId="14" xfId="3" applyNumberFormat="1" applyFill="1" applyBorder="1" applyAlignment="1" applyProtection="1">
      <alignment horizontal="centerContinuous"/>
    </xf>
    <xf numFmtId="169" fontId="7" fillId="0" borderId="14" xfId="3" applyNumberFormat="1" applyFill="1" applyBorder="1" applyAlignment="1">
      <alignment horizontal="centerContinuous"/>
    </xf>
    <xf numFmtId="169" fontId="7" fillId="0" borderId="0" xfId="3" applyNumberFormat="1" applyFill="1"/>
    <xf numFmtId="169" fontId="7" fillId="0" borderId="12" xfId="3" applyNumberFormat="1" applyFill="1" applyBorder="1" applyAlignment="1" applyProtection="1">
      <alignment horizontal="center"/>
    </xf>
    <xf numFmtId="169" fontId="7" fillId="0" borderId="0" xfId="3" applyNumberFormat="1" applyFill="1" applyBorder="1" applyAlignment="1" applyProtection="1">
      <alignment horizontal="center"/>
    </xf>
    <xf numFmtId="169" fontId="7" fillId="0" borderId="6" xfId="3" applyNumberFormat="1" applyFill="1" applyBorder="1" applyAlignment="1" applyProtection="1">
      <alignment horizontal="center"/>
    </xf>
    <xf numFmtId="169" fontId="7" fillId="0" borderId="13" xfId="3" applyNumberFormat="1" applyFill="1" applyBorder="1" applyAlignment="1" applyProtection="1">
      <alignment horizontal="center"/>
    </xf>
    <xf numFmtId="169" fontId="7" fillId="0" borderId="9" xfId="3" applyNumberFormat="1" applyFill="1" applyBorder="1" applyAlignment="1" applyProtection="1">
      <alignment horizontal="center"/>
    </xf>
    <xf numFmtId="169" fontId="7" fillId="0" borderId="10" xfId="3" applyNumberFormat="1" applyFill="1" applyBorder="1" applyAlignment="1" applyProtection="1">
      <alignment horizontal="center"/>
    </xf>
    <xf numFmtId="37" fontId="7" fillId="0" borderId="7" xfId="3" applyFill="1" applyBorder="1"/>
    <xf numFmtId="169" fontId="10" fillId="0" borderId="0" xfId="3" applyNumberFormat="1" applyFont="1" applyFill="1" applyBorder="1" applyAlignment="1">
      <alignment horizontal="centerContinuous" vertical="center"/>
    </xf>
    <xf numFmtId="169" fontId="10" fillId="0" borderId="0" xfId="3" applyNumberFormat="1" applyFont="1" applyFill="1" applyBorder="1" applyAlignment="1">
      <alignment horizontal="center" vertical="center"/>
    </xf>
    <xf numFmtId="169" fontId="7" fillId="0" borderId="0" xfId="3" applyNumberFormat="1" applyFill="1" applyBorder="1" applyAlignment="1">
      <alignment horizontal="centerContinuous" vertical="center"/>
    </xf>
    <xf numFmtId="169" fontId="7" fillId="0" borderId="6" xfId="3" applyNumberFormat="1" applyFill="1" applyBorder="1"/>
    <xf numFmtId="37" fontId="7" fillId="0" borderId="11" xfId="3" quotePrefix="1" applyFill="1" applyBorder="1" applyAlignment="1" applyProtection="1">
      <alignment horizontal="left" vertical="top"/>
    </xf>
    <xf numFmtId="169" fontId="7" fillId="0" borderId="11" xfId="3" applyNumberFormat="1" applyFont="1" applyFill="1" applyBorder="1"/>
    <xf numFmtId="169" fontId="7" fillId="0" borderId="2" xfId="3" applyNumberFormat="1" applyFill="1" applyBorder="1"/>
    <xf numFmtId="169" fontId="7" fillId="0" borderId="11" xfId="3" applyNumberFormat="1" applyFill="1" applyBorder="1" applyAlignment="1" applyProtection="1"/>
    <xf numFmtId="169" fontId="7" fillId="0" borderId="12" xfId="3" applyNumberFormat="1" applyFont="1" applyFill="1" applyBorder="1"/>
    <xf numFmtId="37" fontId="13" fillId="0" borderId="0" xfId="3" applyFont="1" applyFill="1"/>
    <xf numFmtId="169" fontId="13" fillId="0" borderId="0" xfId="3" applyNumberFormat="1" applyFont="1" applyFill="1"/>
    <xf numFmtId="165" fontId="7" fillId="0" borderId="0" xfId="3" applyNumberFormat="1" applyFill="1"/>
    <xf numFmtId="165" fontId="7" fillId="0" borderId="0" xfId="3" applyNumberFormat="1" applyFont="1" applyFill="1"/>
    <xf numFmtId="169" fontId="14" fillId="0" borderId="0" xfId="3" applyNumberFormat="1" applyFont="1" applyFill="1" applyBorder="1" applyAlignment="1">
      <alignment horizontal="right" vertical="center"/>
    </xf>
    <xf numFmtId="0" fontId="2" fillId="0" borderId="12" xfId="3" applyNumberFormat="1" applyFont="1" applyFill="1" applyBorder="1"/>
    <xf numFmtId="0" fontId="2" fillId="0" borderId="13" xfId="3" applyNumberFormat="1" applyFont="1" applyFill="1" applyBorder="1"/>
    <xf numFmtId="169" fontId="14" fillId="0" borderId="9" xfId="3" applyNumberFormat="1" applyFont="1" applyFill="1" applyBorder="1" applyAlignment="1">
      <alignment horizontal="right" vertical="center"/>
    </xf>
    <xf numFmtId="169" fontId="7" fillId="0" borderId="9" xfId="3" applyNumberFormat="1" applyFill="1" applyBorder="1"/>
    <xf numFmtId="37" fontId="7" fillId="0" borderId="0" xfId="3" applyFont="1" applyFill="1"/>
    <xf numFmtId="169" fontId="14" fillId="0" borderId="6" xfId="3" applyNumberFormat="1" applyFont="1" applyFill="1" applyBorder="1"/>
    <xf numFmtId="169" fontId="14" fillId="0" borderId="5" xfId="3" applyNumberFormat="1" applyFont="1" applyFill="1" applyBorder="1"/>
    <xf numFmtId="169" fontId="7" fillId="0" borderId="5" xfId="3" applyNumberFormat="1" applyFill="1" applyBorder="1" applyAlignment="1" applyProtection="1"/>
    <xf numFmtId="169" fontId="7" fillId="0" borderId="11" xfId="3" applyNumberFormat="1" applyFill="1" applyBorder="1"/>
    <xf numFmtId="37" fontId="13" fillId="0" borderId="0" xfId="3" applyFont="1" applyFill="1" applyAlignment="1" applyProtection="1">
      <alignment horizontal="left"/>
    </xf>
    <xf numFmtId="37" fontId="15" fillId="0" borderId="0" xfId="3" applyFont="1" applyFill="1"/>
    <xf numFmtId="39" fontId="7" fillId="0" borderId="0" xfId="3" applyNumberFormat="1" applyFill="1"/>
    <xf numFmtId="0" fontId="20" fillId="0" borderId="0" xfId="4" applyFont="1"/>
    <xf numFmtId="0" fontId="19" fillId="0" borderId="0" xfId="4"/>
    <xf numFmtId="167" fontId="19" fillId="0" borderId="15" xfId="4" applyNumberFormat="1" applyBorder="1" applyAlignment="1">
      <alignment horizontal="center" vertical="center" wrapText="1"/>
    </xf>
    <xf numFmtId="167" fontId="21" fillId="0" borderId="15" xfId="4" applyNumberFormat="1" applyFont="1" applyBorder="1" applyAlignment="1">
      <alignment horizontal="center" vertical="center" wrapText="1"/>
    </xf>
    <xf numFmtId="167" fontId="19" fillId="0" borderId="15" xfId="4" applyNumberFormat="1" applyBorder="1" applyAlignment="1">
      <alignment horizontal="center" vertical="center"/>
    </xf>
    <xf numFmtId="167" fontId="22" fillId="0" borderId="15" xfId="4" applyNumberFormat="1" applyFont="1" applyBorder="1" applyAlignment="1">
      <alignment horizontal="center" vertical="center"/>
    </xf>
    <xf numFmtId="167" fontId="19" fillId="0" borderId="15" xfId="4" applyNumberFormat="1" applyBorder="1"/>
    <xf numFmtId="167" fontId="19" fillId="0" borderId="15" xfId="4" applyNumberFormat="1" applyBorder="1" applyAlignment="1">
      <alignment horizontal="right"/>
    </xf>
    <xf numFmtId="167" fontId="21" fillId="0" borderId="15" xfId="4" applyNumberFormat="1" applyFont="1" applyBorder="1" applyAlignment="1">
      <alignment horizontal="right"/>
    </xf>
    <xf numFmtId="167" fontId="22" fillId="0" borderId="15" xfId="4" applyNumberFormat="1" applyFont="1" applyBorder="1" applyAlignment="1">
      <alignment horizontal="right"/>
    </xf>
    <xf numFmtId="167" fontId="23" fillId="0" borderId="15" xfId="4" applyNumberFormat="1" applyFont="1" applyBorder="1" applyAlignment="1">
      <alignment horizontal="right"/>
    </xf>
    <xf numFmtId="167" fontId="23" fillId="0" borderId="15" xfId="4" applyNumberFormat="1" applyFont="1" applyBorder="1" applyAlignment="1">
      <alignment wrapText="1"/>
    </xf>
    <xf numFmtId="167" fontId="22" fillId="0" borderId="15" xfId="4" applyNumberFormat="1" applyFont="1" applyBorder="1"/>
    <xf numFmtId="173" fontId="19" fillId="0" borderId="0" xfId="4" applyNumberFormat="1"/>
    <xf numFmtId="0" fontId="23" fillId="0" borderId="0" xfId="5"/>
    <xf numFmtId="0" fontId="3" fillId="0" borderId="15" xfId="5" applyFont="1" applyFill="1" applyBorder="1" applyAlignment="1">
      <alignment horizontal="center" vertical="center" wrapText="1"/>
    </xf>
    <xf numFmtId="0" fontId="24" fillId="0" borderId="15" xfId="5" applyFont="1" applyFill="1" applyBorder="1" applyAlignment="1">
      <alignment horizontal="center" vertical="center"/>
    </xf>
    <xf numFmtId="0" fontId="3" fillId="0" borderId="15" xfId="5" applyFont="1" applyFill="1" applyBorder="1" applyAlignment="1">
      <alignment horizontal="left" vertical="center" wrapText="1"/>
    </xf>
    <xf numFmtId="174" fontId="24" fillId="0" borderId="15" xfId="5" applyNumberFormat="1" applyFont="1" applyFill="1" applyBorder="1" applyAlignment="1">
      <alignment horizontal="right" vertical="center"/>
    </xf>
    <xf numFmtId="174" fontId="3" fillId="0" borderId="15" xfId="5" applyNumberFormat="1" applyFont="1" applyFill="1" applyBorder="1" applyAlignment="1">
      <alignment horizontal="right" vertical="center"/>
    </xf>
    <xf numFmtId="174" fontId="24" fillId="0" borderId="11" xfId="5" applyNumberFormat="1" applyFont="1" applyFill="1" applyBorder="1" applyAlignment="1">
      <alignment horizontal="right" vertical="center"/>
    </xf>
    <xf numFmtId="173" fontId="23" fillId="0" borderId="0" xfId="5" applyNumberFormat="1"/>
    <xf numFmtId="174" fontId="24" fillId="0" borderId="12" xfId="5" applyNumberFormat="1" applyFont="1" applyFill="1" applyBorder="1" applyAlignment="1">
      <alignment horizontal="right" vertical="center"/>
    </xf>
    <xf numFmtId="174" fontId="24" fillId="0" borderId="13" xfId="5" applyNumberFormat="1" applyFont="1" applyFill="1" applyBorder="1" applyAlignment="1">
      <alignment horizontal="right" vertical="center"/>
    </xf>
    <xf numFmtId="0" fontId="24" fillId="0" borderId="15" xfId="5" applyFont="1" applyFill="1" applyBorder="1" applyAlignment="1">
      <alignment horizontal="left" vertical="center"/>
    </xf>
    <xf numFmtId="174" fontId="24" fillId="0" borderId="14" xfId="5" applyNumberFormat="1" applyFont="1" applyFill="1" applyBorder="1" applyAlignment="1">
      <alignment horizontal="right" vertical="center"/>
    </xf>
    <xf numFmtId="174" fontId="24" fillId="0" borderId="4" xfId="5" applyNumberFormat="1" applyFont="1" applyFill="1" applyBorder="1" applyAlignment="1">
      <alignment horizontal="right" vertical="center"/>
    </xf>
    <xf numFmtId="167" fontId="25" fillId="0" borderId="0" xfId="1" applyFont="1" applyFill="1" applyAlignment="1" applyProtection="1">
      <alignment horizontal="left"/>
    </xf>
    <xf numFmtId="167" fontId="26" fillId="0" borderId="0" xfId="1" applyFont="1" applyFill="1"/>
    <xf numFmtId="167" fontId="3" fillId="0" borderId="0" xfId="1" applyFont="1" applyFill="1"/>
    <xf numFmtId="167" fontId="26" fillId="0" borderId="0" xfId="1" applyFont="1" applyFill="1" applyAlignment="1" applyProtection="1">
      <alignment horizontal="left"/>
    </xf>
    <xf numFmtId="167" fontId="3" fillId="0" borderId="11" xfId="1" applyFont="1" applyFill="1" applyBorder="1"/>
    <xf numFmtId="167" fontId="3" fillId="0" borderId="14" xfId="1" applyFont="1" applyFill="1" applyBorder="1"/>
    <xf numFmtId="167" fontId="3" fillId="0" borderId="14" xfId="1" applyFont="1" applyFill="1" applyBorder="1" applyAlignment="1">
      <alignment horizontal="centerContinuous"/>
    </xf>
    <xf numFmtId="167" fontId="3" fillId="0" borderId="3" xfId="1" applyFont="1" applyFill="1" applyBorder="1" applyAlignment="1">
      <alignment horizontal="centerContinuous"/>
    </xf>
    <xf numFmtId="167" fontId="3" fillId="0" borderId="2" xfId="1" applyFont="1" applyFill="1" applyBorder="1" applyAlignment="1">
      <alignment horizontal="centerContinuous"/>
    </xf>
    <xf numFmtId="167" fontId="3" fillId="0" borderId="5" xfId="1" applyFont="1" applyFill="1" applyBorder="1" applyAlignment="1">
      <alignment horizontal="centerContinuous"/>
    </xf>
    <xf numFmtId="167" fontId="3" fillId="0" borderId="12" xfId="1" applyFont="1" applyFill="1" applyBorder="1"/>
    <xf numFmtId="167" fontId="3" fillId="0" borderId="2" xfId="1" applyFont="1" applyFill="1" applyBorder="1"/>
    <xf numFmtId="167" fontId="3" fillId="0" borderId="2" xfId="1" applyFont="1" applyFill="1" applyBorder="1" applyAlignment="1" applyProtection="1">
      <alignment horizontal="center"/>
    </xf>
    <xf numFmtId="3" fontId="3" fillId="0" borderId="2" xfId="1" applyNumberFormat="1" applyFont="1" applyFill="1" applyBorder="1" applyAlignment="1" applyProtection="1">
      <alignment horizontal="center"/>
    </xf>
    <xf numFmtId="3" fontId="3" fillId="0" borderId="1" xfId="1" applyNumberFormat="1" applyFont="1" applyFill="1" applyBorder="1" applyAlignment="1" applyProtection="1">
      <alignment horizontal="center"/>
    </xf>
    <xf numFmtId="167" fontId="3" fillId="0" borderId="5" xfId="1" applyFont="1" applyFill="1" applyBorder="1"/>
    <xf numFmtId="167" fontId="3" fillId="0" borderId="12" xfId="1" applyFont="1" applyFill="1" applyBorder="1" applyAlignment="1" applyProtection="1">
      <alignment horizontal="center"/>
    </xf>
    <xf numFmtId="167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Alignment="1" applyProtection="1">
      <alignment horizontal="center"/>
    </xf>
    <xf numFmtId="167" fontId="3" fillId="0" borderId="7" xfId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 applyProtection="1">
      <alignment horizontal="center"/>
    </xf>
    <xf numFmtId="167" fontId="3" fillId="0" borderId="13" xfId="1" applyFont="1" applyFill="1" applyBorder="1" applyAlignment="1" applyProtection="1">
      <alignment horizontal="left"/>
    </xf>
    <xf numFmtId="3" fontId="3" fillId="0" borderId="9" xfId="1" applyNumberFormat="1" applyFont="1" applyFill="1" applyBorder="1" applyAlignment="1" applyProtection="1">
      <alignment horizontal="center"/>
    </xf>
    <xf numFmtId="167" fontId="3" fillId="0" borderId="9" xfId="1" applyFont="1" applyFill="1" applyBorder="1" applyAlignment="1" applyProtection="1">
      <alignment horizontal="center"/>
    </xf>
    <xf numFmtId="167" fontId="3" fillId="0" borderId="13" xfId="1" applyFont="1" applyFill="1" applyBorder="1"/>
    <xf numFmtId="3" fontId="3" fillId="0" borderId="8" xfId="1" applyNumberFormat="1" applyFont="1" applyFill="1" applyBorder="1" applyAlignment="1" applyProtection="1">
      <alignment horizontal="center"/>
    </xf>
    <xf numFmtId="167" fontId="3" fillId="0" borderId="10" xfId="1" applyFont="1" applyFill="1" applyBorder="1" applyAlignment="1" applyProtection="1">
      <alignment horizontal="center"/>
    </xf>
    <xf numFmtId="167" fontId="24" fillId="0" borderId="2" xfId="1" applyFont="1" applyFill="1" applyBorder="1" applyAlignment="1">
      <alignment horizontal="centerContinuous" vertical="center"/>
    </xf>
    <xf numFmtId="167" fontId="3" fillId="0" borderId="2" xfId="1" applyFont="1" applyFill="1" applyBorder="1" applyAlignment="1">
      <alignment horizontal="centerContinuous" vertical="center"/>
    </xf>
    <xf numFmtId="167" fontId="24" fillId="0" borderId="5" xfId="1" applyFont="1" applyFill="1" applyBorder="1" applyAlignment="1">
      <alignment horizontal="centerContinuous" vertical="center"/>
    </xf>
    <xf numFmtId="167" fontId="3" fillId="0" borderId="12" xfId="1" applyFont="1" applyFill="1" applyBorder="1" applyAlignment="1" applyProtection="1">
      <alignment horizontal="left"/>
    </xf>
    <xf numFmtId="167" fontId="3" fillId="0" borderId="0" xfId="1" applyFont="1" applyFill="1" applyBorder="1" applyProtection="1"/>
    <xf numFmtId="175" fontId="3" fillId="0" borderId="0" xfId="1" applyNumberFormat="1" applyFont="1" applyFill="1" applyBorder="1" applyProtection="1"/>
    <xf numFmtId="175" fontId="3" fillId="0" borderId="12" xfId="1" applyNumberFormat="1" applyFont="1" applyFill="1" applyBorder="1" applyProtection="1"/>
    <xf numFmtId="2" fontId="3" fillId="0" borderId="0" xfId="2" applyNumberFormat="1" applyFont="1" applyFill="1" applyBorder="1"/>
    <xf numFmtId="2" fontId="3" fillId="0" borderId="6" xfId="2" applyNumberFormat="1" applyFont="1" applyFill="1" applyBorder="1"/>
    <xf numFmtId="166" fontId="3" fillId="0" borderId="6" xfId="2" applyNumberFormat="1" applyFont="1" applyFill="1" applyBorder="1"/>
    <xf numFmtId="166" fontId="3" fillId="0" borderId="12" xfId="2" applyNumberFormat="1" applyFont="1" applyFill="1" applyBorder="1"/>
    <xf numFmtId="10" fontId="3" fillId="0" borderId="0" xfId="2" applyNumberFormat="1" applyFont="1" applyFill="1"/>
    <xf numFmtId="167" fontId="3" fillId="0" borderId="12" xfId="1" applyFont="1" applyFill="1" applyBorder="1" applyAlignment="1">
      <alignment horizontal="left"/>
    </xf>
    <xf numFmtId="167" fontId="3" fillId="0" borderId="0" xfId="1" applyFont="1" applyFill="1" applyBorder="1"/>
    <xf numFmtId="175" fontId="3" fillId="0" borderId="0" xfId="1" applyNumberFormat="1" applyFont="1" applyFill="1" applyBorder="1"/>
    <xf numFmtId="175" fontId="3" fillId="0" borderId="12" xfId="1" applyNumberFormat="1" applyFont="1" applyFill="1" applyBorder="1"/>
    <xf numFmtId="166" fontId="3" fillId="0" borderId="12" xfId="1" applyNumberFormat="1" applyFont="1" applyFill="1" applyBorder="1"/>
    <xf numFmtId="167" fontId="3" fillId="0" borderId="12" xfId="1" applyFont="1" applyFill="1" applyBorder="1" applyAlignment="1" applyProtection="1">
      <alignment horizontal="left" vertical="center"/>
    </xf>
    <xf numFmtId="167" fontId="24" fillId="0" borderId="0" xfId="1" applyFont="1" applyFill="1" applyBorder="1" applyAlignment="1" applyProtection="1">
      <alignment horizontal="centerContinuous" vertical="center"/>
    </xf>
    <xf numFmtId="167" fontId="3" fillId="0" borderId="0" xfId="1" applyFont="1" applyFill="1" applyBorder="1" applyAlignment="1" applyProtection="1">
      <alignment horizontal="centerContinuous" vertical="center"/>
    </xf>
    <xf numFmtId="175" fontId="24" fillId="0" borderId="0" xfId="1" applyNumberFormat="1" applyFont="1" applyFill="1" applyBorder="1" applyAlignment="1" applyProtection="1">
      <alignment horizontal="centerContinuous" vertical="center"/>
    </xf>
    <xf numFmtId="2" fontId="3" fillId="0" borderId="0" xfId="2" applyNumberFormat="1" applyFont="1" applyFill="1" applyBorder="1" applyAlignment="1">
      <alignment horizontal="centerContinuous"/>
    </xf>
    <xf numFmtId="2" fontId="3" fillId="0" borderId="6" xfId="2" applyNumberFormat="1" applyFont="1" applyFill="1" applyBorder="1" applyAlignment="1">
      <alignment horizontal="centerContinuous"/>
    </xf>
    <xf numFmtId="166" fontId="3" fillId="0" borderId="6" xfId="2" applyNumberFormat="1" applyFont="1" applyFill="1" applyBorder="1" applyAlignment="1">
      <alignment horizontal="centerContinuous"/>
    </xf>
    <xf numFmtId="166" fontId="3" fillId="0" borderId="12" xfId="2" applyNumberFormat="1" applyFont="1" applyFill="1" applyBorder="1" applyAlignment="1">
      <alignment vertical="center"/>
    </xf>
    <xf numFmtId="167" fontId="3" fillId="0" borderId="0" xfId="1" applyFont="1" applyFill="1" applyAlignment="1">
      <alignment vertical="center"/>
    </xf>
    <xf numFmtId="175" fontId="3" fillId="0" borderId="0" xfId="1" applyNumberFormat="1" applyFont="1" applyFill="1" applyBorder="1" applyAlignment="1" applyProtection="1">
      <alignment horizontal="left"/>
    </xf>
    <xf numFmtId="167" fontId="3" fillId="0" borderId="0" xfId="1" applyFont="1" applyFill="1" applyBorder="1" applyAlignment="1" applyProtection="1">
      <alignment horizontal="right" vertical="top"/>
    </xf>
    <xf numFmtId="175" fontId="24" fillId="0" borderId="0" xfId="1" applyNumberFormat="1" applyFont="1" applyFill="1" applyBorder="1" applyAlignment="1" applyProtection="1">
      <alignment horizontal="right" vertical="top"/>
    </xf>
    <xf numFmtId="175" fontId="24" fillId="0" borderId="12" xfId="1" applyNumberFormat="1" applyFont="1" applyFill="1" applyBorder="1" applyAlignment="1" applyProtection="1">
      <alignment horizontal="right" vertical="top"/>
    </xf>
    <xf numFmtId="175" fontId="3" fillId="0" borderId="12" xfId="1" applyNumberFormat="1" applyFont="1" applyFill="1" applyBorder="1" applyAlignment="1" applyProtection="1">
      <alignment horizontal="right"/>
    </xf>
    <xf numFmtId="175" fontId="3" fillId="0" borderId="12" xfId="1" applyNumberFormat="1" applyFont="1" applyFill="1" applyBorder="1" applyAlignment="1" applyProtection="1">
      <alignment vertical="top"/>
    </xf>
    <xf numFmtId="10" fontId="29" fillId="0" borderId="0" xfId="2" applyNumberFormat="1" applyFont="1" applyFill="1"/>
    <xf numFmtId="175" fontId="3" fillId="0" borderId="0" xfId="1" applyNumberFormat="1" applyFont="1" applyFill="1" applyBorder="1" applyAlignment="1" applyProtection="1">
      <alignment horizontal="right"/>
    </xf>
    <xf numFmtId="167" fontId="3" fillId="0" borderId="12" xfId="1" applyFont="1" applyFill="1" applyBorder="1" applyAlignment="1" applyProtection="1">
      <alignment horizontal="left" vertical="top"/>
    </xf>
    <xf numFmtId="167" fontId="3" fillId="0" borderId="0" xfId="1" applyFont="1" applyFill="1" applyBorder="1" applyAlignment="1" applyProtection="1">
      <alignment vertical="top"/>
    </xf>
    <xf numFmtId="175" fontId="3" fillId="0" borderId="0" xfId="1" applyNumberFormat="1" applyFont="1" applyFill="1" applyBorder="1" applyAlignment="1" applyProtection="1">
      <alignment vertical="top"/>
    </xf>
    <xf numFmtId="2" fontId="3" fillId="0" borderId="12" xfId="2" applyNumberFormat="1" applyFont="1" applyFill="1" applyBorder="1"/>
    <xf numFmtId="167" fontId="3" fillId="0" borderId="12" xfId="1" quotePrefix="1" applyFont="1" applyFill="1" applyBorder="1" applyAlignment="1" applyProtection="1">
      <alignment horizontal="left" vertical="top"/>
    </xf>
    <xf numFmtId="10" fontId="29" fillId="0" borderId="0" xfId="2" applyNumberFormat="1" applyFont="1" applyFill="1" applyBorder="1"/>
    <xf numFmtId="175" fontId="3" fillId="0" borderId="6" xfId="1" applyNumberFormat="1" applyFont="1" applyFill="1" applyBorder="1" applyProtection="1"/>
    <xf numFmtId="167" fontId="3" fillId="0" borderId="7" xfId="1" quotePrefix="1" applyFont="1" applyFill="1" applyBorder="1" applyAlignment="1" applyProtection="1">
      <alignment horizontal="left" vertical="top"/>
    </xf>
    <xf numFmtId="175" fontId="3" fillId="0" borderId="7" xfId="1" applyNumberFormat="1" applyFont="1" applyFill="1" applyBorder="1" applyAlignment="1" applyProtection="1">
      <alignment vertical="top"/>
    </xf>
    <xf numFmtId="166" fontId="3" fillId="0" borderId="0" xfId="2" applyNumberFormat="1" applyFont="1" applyFill="1" applyBorder="1"/>
    <xf numFmtId="175" fontId="3" fillId="0" borderId="6" xfId="1" applyNumberFormat="1" applyFont="1" applyFill="1" applyBorder="1"/>
    <xf numFmtId="167" fontId="3" fillId="0" borderId="13" xfId="1" quotePrefix="1" applyFont="1" applyFill="1" applyBorder="1" applyAlignment="1" applyProtection="1">
      <alignment horizontal="left" vertical="top"/>
    </xf>
    <xf numFmtId="167" fontId="3" fillId="0" borderId="9" xfId="1" applyFont="1" applyFill="1" applyBorder="1" applyAlignment="1" applyProtection="1">
      <alignment vertical="top"/>
    </xf>
    <xf numFmtId="175" fontId="3" fillId="0" borderId="9" xfId="1" applyNumberFormat="1" applyFont="1" applyFill="1" applyBorder="1" applyAlignment="1" applyProtection="1">
      <alignment vertical="top"/>
    </xf>
    <xf numFmtId="175" fontId="3" fillId="0" borderId="9" xfId="1" applyNumberFormat="1" applyFont="1" applyFill="1" applyBorder="1" applyProtection="1"/>
    <xf numFmtId="175" fontId="3" fillId="0" borderId="10" xfId="1" applyNumberFormat="1" applyFont="1" applyFill="1" applyBorder="1"/>
    <xf numFmtId="175" fontId="3" fillId="0" borderId="13" xfId="1" applyNumberFormat="1" applyFont="1" applyFill="1" applyBorder="1" applyAlignment="1" applyProtection="1">
      <alignment vertical="top"/>
    </xf>
    <xf numFmtId="2" fontId="3" fillId="0" borderId="9" xfId="2" applyNumberFormat="1" applyFont="1" applyFill="1" applyBorder="1"/>
    <xf numFmtId="2" fontId="3" fillId="0" borderId="10" xfId="2" applyNumberFormat="1" applyFont="1" applyFill="1" applyBorder="1"/>
    <xf numFmtId="166" fontId="3" fillId="0" borderId="10" xfId="2" applyNumberFormat="1" applyFont="1" applyFill="1" applyBorder="1"/>
    <xf numFmtId="2" fontId="3" fillId="0" borderId="13" xfId="2" applyNumberFormat="1" applyFont="1" applyFill="1" applyBorder="1"/>
    <xf numFmtId="167" fontId="3" fillId="0" borderId="0" xfId="1" quotePrefix="1" applyFont="1" applyFill="1" applyBorder="1" applyAlignment="1" applyProtection="1">
      <alignment horizontal="left" vertical="top"/>
    </xf>
    <xf numFmtId="167" fontId="3" fillId="0" borderId="0" xfId="1" applyFont="1" applyFill="1" applyBorder="1" applyAlignment="1" applyProtection="1">
      <alignment horizontal="left" vertical="top"/>
    </xf>
    <xf numFmtId="167" fontId="3" fillId="0" borderId="0" xfId="1" applyNumberFormat="1" applyFont="1" applyFill="1" applyBorder="1" applyAlignment="1" applyProtection="1">
      <alignment vertical="top"/>
    </xf>
    <xf numFmtId="167" fontId="24" fillId="0" borderId="0" xfId="1" applyFont="1" applyFill="1"/>
    <xf numFmtId="167" fontId="3" fillId="0" borderId="3" xfId="1" applyFont="1" applyFill="1" applyBorder="1" applyAlignment="1">
      <alignment horizontal="left"/>
    </xf>
    <xf numFmtId="167" fontId="3" fillId="0" borderId="4" xfId="1" applyFont="1" applyFill="1" applyBorder="1" applyAlignment="1">
      <alignment horizontal="centerContinuous"/>
    </xf>
    <xf numFmtId="167" fontId="3" fillId="0" borderId="7" xfId="1" applyFont="1" applyFill="1" applyBorder="1" applyAlignment="1">
      <alignment horizontal="centerContinuous"/>
    </xf>
    <xf numFmtId="167" fontId="3" fillId="0" borderId="7" xfId="1" applyFont="1" applyFill="1" applyBorder="1"/>
    <xf numFmtId="167" fontId="3" fillId="0" borderId="0" xfId="1" applyFont="1" applyFill="1" applyAlignment="1" applyProtection="1">
      <alignment horizontal="center"/>
    </xf>
    <xf numFmtId="167" fontId="24" fillId="0" borderId="0" xfId="1" applyFont="1" applyFill="1" applyBorder="1"/>
    <xf numFmtId="167" fontId="3" fillId="0" borderId="6" xfId="1" applyFont="1" applyFill="1" applyBorder="1"/>
    <xf numFmtId="37" fontId="3" fillId="0" borderId="1" xfId="1" quotePrefix="1" applyNumberFormat="1" applyFont="1" applyFill="1" applyBorder="1" applyAlignment="1" applyProtection="1">
      <alignment horizontal="left" vertical="top"/>
    </xf>
    <xf numFmtId="175" fontId="3" fillId="0" borderId="11" xfId="1" applyNumberFormat="1" applyFont="1" applyFill="1" applyBorder="1" applyAlignment="1">
      <alignment horizontal="right"/>
    </xf>
    <xf numFmtId="175" fontId="3" fillId="0" borderId="2" xfId="1" applyNumberFormat="1" applyFont="1" applyFill="1" applyBorder="1" applyAlignment="1">
      <alignment horizontal="right"/>
    </xf>
    <xf numFmtId="175" fontId="3" fillId="0" borderId="1" xfId="1" applyNumberFormat="1" applyFont="1" applyFill="1" applyBorder="1" applyAlignment="1">
      <alignment vertical="top"/>
    </xf>
    <xf numFmtId="2" fontId="3" fillId="0" borderId="1" xfId="2" applyNumberFormat="1" applyFont="1" applyFill="1" applyBorder="1"/>
    <xf numFmtId="2" fontId="3" fillId="0" borderId="2" xfId="2" applyNumberFormat="1" applyFont="1" applyFill="1" applyBorder="1"/>
    <xf numFmtId="2" fontId="3" fillId="0" borderId="5" xfId="2" applyNumberFormat="1" applyFont="1" applyFill="1" applyBorder="1"/>
    <xf numFmtId="3" fontId="3" fillId="0" borderId="0" xfId="1" quotePrefix="1" applyNumberFormat="1" applyFont="1" applyFill="1" applyBorder="1" applyAlignment="1" applyProtection="1">
      <alignment horizontal="right" vertical="top" indent="1"/>
    </xf>
    <xf numFmtId="176" fontId="3" fillId="0" borderId="0" xfId="1" applyNumberFormat="1" applyFont="1" applyFill="1" applyBorder="1" applyAlignment="1" applyProtection="1">
      <alignment horizontal="right" vertical="top"/>
    </xf>
    <xf numFmtId="37" fontId="3" fillId="0" borderId="7" xfId="1" quotePrefix="1" applyNumberFormat="1" applyFont="1" applyFill="1" applyBorder="1" applyAlignment="1" applyProtection="1">
      <alignment horizontal="left" vertical="top"/>
    </xf>
    <xf numFmtId="175" fontId="3" fillId="0" borderId="12" xfId="1" applyNumberFormat="1" applyFont="1" applyFill="1" applyBorder="1" applyAlignment="1">
      <alignment horizontal="right"/>
    </xf>
    <xf numFmtId="175" fontId="3" fillId="0" borderId="0" xfId="1" applyNumberFormat="1" applyFont="1" applyFill="1" applyBorder="1" applyAlignment="1">
      <alignment horizontal="right"/>
    </xf>
    <xf numFmtId="175" fontId="3" fillId="0" borderId="6" xfId="1" applyNumberFormat="1" applyFont="1" applyFill="1" applyBorder="1" applyAlignment="1">
      <alignment horizontal="right"/>
    </xf>
    <xf numFmtId="175" fontId="3" fillId="0" borderId="7" xfId="1" applyNumberFormat="1" applyFont="1" applyFill="1" applyBorder="1" applyAlignment="1">
      <alignment vertical="top"/>
    </xf>
    <xf numFmtId="2" fontId="3" fillId="0" borderId="7" xfId="2" applyNumberFormat="1" applyFont="1" applyFill="1" applyBorder="1"/>
    <xf numFmtId="175" fontId="30" fillId="0" borderId="12" xfId="1" applyNumberFormat="1" applyFont="1" applyFill="1" applyBorder="1" applyAlignment="1">
      <alignment horizontal="right"/>
    </xf>
    <xf numFmtId="175" fontId="3" fillId="0" borderId="7" xfId="1" applyNumberFormat="1" applyFont="1" applyFill="1" applyBorder="1" applyAlignment="1">
      <alignment horizontal="right"/>
    </xf>
    <xf numFmtId="175" fontId="3" fillId="0" borderId="12" xfId="1" applyNumberFormat="1" applyFont="1" applyFill="1" applyBorder="1" applyAlignment="1">
      <alignment horizontal="right" vertical="center"/>
    </xf>
    <xf numFmtId="175" fontId="3" fillId="0" borderId="6" xfId="1" applyNumberFormat="1" applyFont="1" applyFill="1" applyBorder="1" applyAlignment="1">
      <alignment horizontal="right" vertical="center"/>
    </xf>
    <xf numFmtId="167" fontId="3" fillId="0" borderId="9" xfId="1" applyFont="1" applyFill="1" applyBorder="1"/>
    <xf numFmtId="175" fontId="3" fillId="0" borderId="8" xfId="1" applyNumberFormat="1" applyFont="1" applyFill="1" applyBorder="1" applyAlignment="1">
      <alignment horizontal="right"/>
    </xf>
    <xf numFmtId="175" fontId="3" fillId="0" borderId="9" xfId="1" applyNumberFormat="1" applyFont="1" applyFill="1" applyBorder="1" applyAlignment="1">
      <alignment horizontal="right"/>
    </xf>
    <xf numFmtId="175" fontId="3" fillId="0" borderId="10" xfId="1" applyNumberFormat="1" applyFont="1" applyFill="1" applyBorder="1" applyAlignment="1">
      <alignment horizontal="left" vertical="center"/>
    </xf>
    <xf numFmtId="175" fontId="3" fillId="0" borderId="10" xfId="1" applyNumberFormat="1" applyFont="1" applyFill="1" applyBorder="1" applyAlignment="1">
      <alignment horizontal="right" vertical="center"/>
    </xf>
    <xf numFmtId="175" fontId="3" fillId="0" borderId="13" xfId="1" applyNumberFormat="1" applyFont="1" applyFill="1" applyBorder="1" applyAlignment="1">
      <alignment horizontal="right" vertical="center"/>
    </xf>
    <xf numFmtId="175" fontId="3" fillId="0" borderId="10" xfId="1" applyNumberFormat="1" applyFont="1" applyFill="1" applyBorder="1" applyAlignment="1">
      <alignment horizontal="right"/>
    </xf>
    <xf numFmtId="175" fontId="3" fillId="0" borderId="8" xfId="1" applyNumberFormat="1" applyFont="1" applyFill="1" applyBorder="1" applyAlignment="1">
      <alignment vertical="top"/>
    </xf>
    <xf numFmtId="2" fontId="3" fillId="0" borderId="8" xfId="2" applyNumberFormat="1" applyFont="1" applyFill="1" applyBorder="1"/>
    <xf numFmtId="2" fontId="3" fillId="0" borderId="10" xfId="2" applyNumberFormat="1" applyFont="1" applyFill="1" applyBorder="1" applyAlignment="1">
      <alignment horizontal="left"/>
    </xf>
    <xf numFmtId="175" fontId="24" fillId="0" borderId="0" xfId="1" applyNumberFormat="1" applyFont="1" applyFill="1" applyBorder="1" applyAlignment="1">
      <alignment vertical="top"/>
    </xf>
    <xf numFmtId="2" fontId="3" fillId="0" borderId="0" xfId="1" applyNumberFormat="1" applyFont="1" applyFill="1" applyBorder="1"/>
    <xf numFmtId="2" fontId="3" fillId="0" borderId="6" xfId="1" applyNumberFormat="1" applyFont="1" applyFill="1" applyBorder="1"/>
    <xf numFmtId="37" fontId="3" fillId="0" borderId="11" xfId="1" quotePrefix="1" applyNumberFormat="1" applyFont="1" applyFill="1" applyBorder="1" applyAlignment="1" applyProtection="1">
      <alignment horizontal="left" vertical="top"/>
    </xf>
    <xf numFmtId="175" fontId="3" fillId="0" borderId="5" xfId="1" applyNumberFormat="1" applyFont="1" applyFill="1" applyBorder="1" applyAlignment="1">
      <alignment horizontal="right"/>
    </xf>
    <xf numFmtId="37" fontId="3" fillId="0" borderId="0" xfId="1" quotePrefix="1" applyNumberFormat="1" applyFont="1" applyFill="1" applyBorder="1" applyAlignment="1" applyProtection="1">
      <alignment horizontal="right" vertical="top"/>
    </xf>
    <xf numFmtId="37" fontId="3" fillId="0" borderId="12" xfId="1" quotePrefix="1" applyNumberFormat="1" applyFont="1" applyFill="1" applyBorder="1" applyAlignment="1" applyProtection="1">
      <alignment horizontal="left" vertical="top"/>
    </xf>
    <xf numFmtId="175" fontId="3" fillId="0" borderId="13" xfId="1" applyNumberFormat="1" applyFont="1" applyFill="1" applyBorder="1" applyAlignment="1">
      <alignment horizontal="right"/>
    </xf>
    <xf numFmtId="175" fontId="3" fillId="0" borderId="1" xfId="1" applyNumberFormat="1" applyFont="1" applyFill="1" applyBorder="1" applyAlignment="1">
      <alignment horizontal="right"/>
    </xf>
    <xf numFmtId="175" fontId="3" fillId="0" borderId="7" xfId="1" applyNumberFormat="1" applyFont="1" applyFill="1" applyBorder="1" applyAlignment="1">
      <alignment horizontal="right" vertical="center"/>
    </xf>
    <xf numFmtId="175" fontId="3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/>
    <xf numFmtId="167" fontId="29" fillId="0" borderId="0" xfId="1" applyFont="1" applyFill="1" applyAlignment="1" applyProtection="1">
      <alignment horizontal="left"/>
    </xf>
    <xf numFmtId="168" fontId="3" fillId="0" borderId="0" xfId="1" applyNumberFormat="1" applyFont="1" applyFill="1"/>
    <xf numFmtId="37" fontId="31" fillId="0" borderId="0" xfId="3" applyFont="1"/>
    <xf numFmtId="37" fontId="3" fillId="0" borderId="0" xfId="3" applyFont="1"/>
    <xf numFmtId="37" fontId="25" fillId="0" borderId="0" xfId="3" applyFont="1" applyAlignment="1" applyProtection="1">
      <alignment horizontal="left"/>
    </xf>
    <xf numFmtId="37" fontId="32" fillId="0" borderId="0" xfId="3" applyFont="1"/>
    <xf numFmtId="37" fontId="26" fillId="0" borderId="0" xfId="3" quotePrefix="1" applyFont="1"/>
    <xf numFmtId="3" fontId="3" fillId="0" borderId="11" xfId="3" applyNumberFormat="1" applyFont="1" applyBorder="1"/>
    <xf numFmtId="3" fontId="3" fillId="0" borderId="2" xfId="3" applyNumberFormat="1" applyFont="1" applyBorder="1" applyAlignment="1">
      <alignment horizontal="center"/>
    </xf>
    <xf numFmtId="3" fontId="3" fillId="0" borderId="2" xfId="3" applyNumberFormat="1" applyFont="1" applyBorder="1" applyAlignment="1" applyProtection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0" xfId="3" applyNumberFormat="1" applyFont="1"/>
    <xf numFmtId="3" fontId="3" fillId="0" borderId="12" xfId="3" applyNumberFormat="1" applyFont="1" applyBorder="1" applyAlignment="1" applyProtection="1">
      <alignment horizontal="center"/>
    </xf>
    <xf numFmtId="3" fontId="3" fillId="0" borderId="0" xfId="3" applyNumberFormat="1" applyFont="1" applyAlignment="1" applyProtection="1">
      <alignment horizontal="center"/>
    </xf>
    <xf numFmtId="3" fontId="3" fillId="0" borderId="13" xfId="3" applyNumberFormat="1" applyFont="1" applyBorder="1" applyAlignment="1" applyProtection="1">
      <alignment horizontal="left"/>
    </xf>
    <xf numFmtId="3" fontId="3" fillId="0" borderId="9" xfId="3" applyNumberFormat="1" applyFont="1" applyBorder="1" applyAlignment="1" applyProtection="1">
      <alignment horizontal="center"/>
    </xf>
    <xf numFmtId="3" fontId="3" fillId="0" borderId="13" xfId="3" applyNumberFormat="1" applyFont="1" applyBorder="1" applyAlignment="1">
      <alignment horizontal="center"/>
    </xf>
    <xf numFmtId="37" fontId="3" fillId="0" borderId="12" xfId="3" applyFont="1" applyBorder="1"/>
    <xf numFmtId="37" fontId="24" fillId="0" borderId="0" xfId="3" applyFont="1" applyAlignment="1">
      <alignment horizontal="centerContinuous" vertical="center"/>
    </xf>
    <xf numFmtId="37" fontId="3" fillId="0" borderId="0" xfId="3" applyFont="1" applyAlignment="1">
      <alignment horizontal="centerContinuous" vertical="center"/>
    </xf>
    <xf numFmtId="37" fontId="3" fillId="0" borderId="6" xfId="3" applyFont="1" applyBorder="1" applyAlignment="1">
      <alignment horizontal="centerContinuous" vertical="center"/>
    </xf>
    <xf numFmtId="37" fontId="3" fillId="0" borderId="12" xfId="3" applyFont="1" applyBorder="1" applyAlignment="1">
      <alignment vertical="center"/>
    </xf>
    <xf numFmtId="37" fontId="3" fillId="0" borderId="12" xfId="3" applyFont="1" applyBorder="1" applyAlignment="1" applyProtection="1">
      <alignment horizontal="left"/>
    </xf>
    <xf numFmtId="178" fontId="3" fillId="0" borderId="0" xfId="3" applyNumberFormat="1" applyFont="1" applyProtection="1"/>
    <xf numFmtId="178" fontId="3" fillId="0" borderId="12" xfId="3" applyNumberFormat="1" applyFont="1" applyBorder="1" applyProtection="1"/>
    <xf numFmtId="37" fontId="3" fillId="0" borderId="12" xfId="3" applyFont="1" applyBorder="1" applyAlignment="1">
      <alignment horizontal="left"/>
    </xf>
    <xf numFmtId="178" fontId="3" fillId="0" borderId="0" xfId="3" applyNumberFormat="1" applyFont="1"/>
    <xf numFmtId="178" fontId="3" fillId="0" borderId="12" xfId="3" applyNumberFormat="1" applyFont="1" applyBorder="1"/>
    <xf numFmtId="176" fontId="3" fillId="0" borderId="0" xfId="3" applyNumberFormat="1" applyFont="1"/>
    <xf numFmtId="176" fontId="3" fillId="0" borderId="12" xfId="3" applyNumberFormat="1" applyFont="1" applyBorder="1"/>
    <xf numFmtId="176" fontId="3" fillId="0" borderId="0" xfId="3" applyNumberFormat="1" applyFont="1" applyProtection="1"/>
    <xf numFmtId="176" fontId="3" fillId="0" borderId="12" xfId="3" applyNumberFormat="1" applyFont="1" applyBorder="1" applyProtection="1"/>
    <xf numFmtId="176" fontId="24" fillId="0" borderId="0" xfId="3" applyNumberFormat="1" applyFont="1" applyAlignment="1" applyProtection="1">
      <alignment horizontal="centerContinuous" vertical="center"/>
    </xf>
    <xf numFmtId="176" fontId="3" fillId="0" borderId="0" xfId="3" applyNumberFormat="1" applyFont="1" applyAlignment="1" applyProtection="1">
      <alignment horizontal="centerContinuous" vertical="center"/>
    </xf>
    <xf numFmtId="176" fontId="3" fillId="0" borderId="12" xfId="3" applyNumberFormat="1" applyFont="1" applyBorder="1" applyAlignment="1" applyProtection="1">
      <alignment vertical="center"/>
    </xf>
    <xf numFmtId="176" fontId="3" fillId="0" borderId="0" xfId="3" applyNumberFormat="1" applyFont="1" applyAlignment="1" applyProtection="1">
      <alignment horizontal="right"/>
    </xf>
    <xf numFmtId="176" fontId="3" fillId="0" borderId="0" xfId="3" applyNumberFormat="1" applyFont="1" applyAlignment="1">
      <alignment horizontal="right"/>
    </xf>
    <xf numFmtId="176" fontId="24" fillId="0" borderId="0" xfId="3" applyNumberFormat="1" applyFont="1" applyAlignment="1" applyProtection="1">
      <alignment horizontal="right"/>
    </xf>
    <xf numFmtId="176" fontId="24" fillId="0" borderId="0" xfId="3" applyNumberFormat="1" applyFont="1" applyAlignment="1" applyProtection="1">
      <alignment horizontal="right" vertical="top"/>
    </xf>
    <xf numFmtId="176" fontId="24" fillId="0" borderId="12" xfId="3" applyNumberFormat="1" applyFont="1" applyBorder="1" applyAlignment="1" applyProtection="1">
      <alignment vertical="center"/>
    </xf>
    <xf numFmtId="176" fontId="3" fillId="0" borderId="12" xfId="3" applyNumberFormat="1" applyFont="1" applyBorder="1" applyAlignment="1" applyProtection="1">
      <alignment horizontal="right"/>
    </xf>
    <xf numFmtId="176" fontId="3" fillId="0" borderId="0" xfId="3" applyNumberFormat="1" applyFont="1" applyAlignment="1" applyProtection="1">
      <alignment horizontal="right" vertical="top"/>
    </xf>
    <xf numFmtId="37" fontId="3" fillId="0" borderId="12" xfId="3" applyFont="1" applyBorder="1" applyAlignment="1" applyProtection="1">
      <alignment horizontal="left" vertical="top"/>
    </xf>
    <xf numFmtId="176" fontId="3" fillId="0" borderId="0" xfId="3" applyNumberFormat="1" applyFont="1" applyBorder="1" applyAlignment="1" applyProtection="1">
      <alignment horizontal="right" vertical="top"/>
    </xf>
    <xf numFmtId="176" fontId="3" fillId="0" borderId="12" xfId="3" applyNumberFormat="1" applyFont="1" applyBorder="1" applyAlignment="1" applyProtection="1">
      <alignment horizontal="right" vertical="top"/>
    </xf>
    <xf numFmtId="37" fontId="3" fillId="0" borderId="12" xfId="3" applyFont="1" applyBorder="1" applyAlignment="1">
      <alignment horizontal="left" vertical="top"/>
    </xf>
    <xf numFmtId="37" fontId="3" fillId="0" borderId="12" xfId="3" quotePrefix="1" applyFont="1" applyBorder="1" applyAlignment="1">
      <alignment horizontal="left" vertical="top"/>
    </xf>
    <xf numFmtId="37" fontId="3" fillId="0" borderId="0" xfId="3" applyFont="1" applyBorder="1"/>
    <xf numFmtId="37" fontId="3" fillId="0" borderId="12" xfId="3" quotePrefix="1" applyFont="1" applyBorder="1" applyAlignment="1">
      <alignment horizontal="left" vertical="center"/>
    </xf>
    <xf numFmtId="176" fontId="3" fillId="0" borderId="0" xfId="3" quotePrefix="1" applyNumberFormat="1" applyFont="1" applyBorder="1" applyAlignment="1" applyProtection="1">
      <alignment horizontal="left" vertical="center" indent="3"/>
    </xf>
    <xf numFmtId="176" fontId="3" fillId="0" borderId="0" xfId="3" applyNumberFormat="1" applyFont="1" applyBorder="1" applyAlignment="1" applyProtection="1">
      <alignment horizontal="centerContinuous" vertical="center"/>
    </xf>
    <xf numFmtId="176" fontId="3" fillId="0" borderId="10" xfId="3" applyNumberFormat="1" applyFont="1" applyBorder="1" applyAlignment="1" applyProtection="1">
      <alignment horizontal="left" vertical="center"/>
    </xf>
    <xf numFmtId="37" fontId="3" fillId="0" borderId="12" xfId="3" quotePrefix="1" applyFont="1" applyBorder="1" applyAlignment="1" applyProtection="1">
      <alignment horizontal="left"/>
    </xf>
    <xf numFmtId="176" fontId="3" fillId="0" borderId="0" xfId="3" applyNumberFormat="1" applyFont="1" applyAlignment="1" applyProtection="1">
      <alignment vertical="center"/>
    </xf>
    <xf numFmtId="176" fontId="3" fillId="0" borderId="7" xfId="3" applyNumberFormat="1" applyFont="1" applyBorder="1" applyAlignment="1" applyProtection="1">
      <alignment horizontal="centerContinuous" vertical="center"/>
    </xf>
    <xf numFmtId="176" fontId="33" fillId="0" borderId="12" xfId="3" applyNumberFormat="1" applyFont="1" applyBorder="1" applyAlignment="1" applyProtection="1">
      <alignment horizontal="right" vertical="top"/>
    </xf>
    <xf numFmtId="176" fontId="3" fillId="0" borderId="6" xfId="3" applyNumberFormat="1" applyFont="1" applyBorder="1" applyAlignment="1" applyProtection="1">
      <alignment horizontal="right" vertical="top"/>
    </xf>
    <xf numFmtId="37" fontId="3" fillId="0" borderId="12" xfId="3" quotePrefix="1" applyFont="1" applyFill="1" applyBorder="1" applyAlignment="1">
      <alignment horizontal="left" vertical="center"/>
    </xf>
    <xf numFmtId="176" fontId="3" fillId="0" borderId="0" xfId="3" applyNumberFormat="1" applyFont="1" applyFill="1" applyBorder="1" applyAlignment="1" applyProtection="1">
      <alignment horizontal="right" vertical="top"/>
    </xf>
    <xf numFmtId="176" fontId="3" fillId="0" borderId="12" xfId="3" applyNumberFormat="1" applyFont="1" applyFill="1" applyBorder="1" applyAlignment="1" applyProtection="1">
      <alignment horizontal="right" vertical="top"/>
    </xf>
    <xf numFmtId="37" fontId="3" fillId="0" borderId="0" xfId="3" applyFont="1" applyFill="1" applyBorder="1"/>
    <xf numFmtId="37" fontId="3" fillId="0" borderId="13" xfId="3" quotePrefix="1" applyFont="1" applyBorder="1" applyAlignment="1">
      <alignment horizontal="left" vertical="center"/>
    </xf>
    <xf numFmtId="176" fontId="3" fillId="0" borderId="9" xfId="3" applyNumberFormat="1" applyFont="1" applyBorder="1" applyAlignment="1" applyProtection="1">
      <alignment horizontal="right" vertical="top"/>
    </xf>
    <xf numFmtId="176" fontId="3" fillId="0" borderId="13" xfId="3" applyNumberFormat="1" applyFont="1" applyBorder="1" applyAlignment="1" applyProtection="1">
      <alignment horizontal="right" vertical="top"/>
    </xf>
    <xf numFmtId="37" fontId="3" fillId="0" borderId="0" xfId="3" quotePrefix="1" applyFont="1" applyBorder="1" applyAlignment="1">
      <alignment horizontal="left" vertical="center"/>
    </xf>
    <xf numFmtId="37" fontId="3" fillId="0" borderId="0" xfId="3" applyFont="1" applyBorder="1" applyAlignment="1">
      <alignment horizontal="left" vertical="center"/>
    </xf>
    <xf numFmtId="37" fontId="3" fillId="0" borderId="0" xfId="3" applyFont="1" applyAlignment="1">
      <alignment horizontal="centerContinuous"/>
    </xf>
    <xf numFmtId="37" fontId="24" fillId="0" borderId="0" xfId="3" applyFont="1" applyAlignment="1">
      <alignment horizontal="left" vertical="center"/>
    </xf>
    <xf numFmtId="176" fontId="3" fillId="0" borderId="0" xfId="3" applyNumberFormat="1" applyFont="1" applyBorder="1" applyAlignment="1" applyProtection="1">
      <alignment horizontal="centerContinuous" vertical="top"/>
    </xf>
    <xf numFmtId="37" fontId="3" fillId="0" borderId="7" xfId="3" applyFont="1" applyBorder="1"/>
    <xf numFmtId="37" fontId="24" fillId="0" borderId="0" xfId="3" applyFont="1" applyBorder="1" applyAlignment="1">
      <alignment horizontal="center"/>
    </xf>
    <xf numFmtId="37" fontId="3" fillId="0" borderId="6" xfId="3" applyFont="1" applyBorder="1"/>
    <xf numFmtId="37" fontId="3" fillId="0" borderId="1" xfId="3" quotePrefix="1" applyFont="1" applyBorder="1"/>
    <xf numFmtId="37" fontId="3" fillId="0" borderId="1" xfId="3" applyFont="1" applyBorder="1"/>
    <xf numFmtId="37" fontId="3" fillId="0" borderId="11" xfId="3" applyFont="1" applyBorder="1"/>
    <xf numFmtId="37" fontId="3" fillId="0" borderId="5" xfId="3" applyFont="1" applyBorder="1"/>
    <xf numFmtId="37" fontId="3" fillId="0" borderId="1" xfId="3" applyFont="1" applyBorder="1" applyAlignment="1">
      <alignment horizontal="centerContinuous"/>
    </xf>
    <xf numFmtId="37" fontId="3" fillId="0" borderId="5" xfId="3" applyFont="1" applyBorder="1" applyAlignment="1">
      <alignment horizontal="centerContinuous"/>
    </xf>
    <xf numFmtId="37" fontId="3" fillId="0" borderId="7" xfId="3" quotePrefix="1" applyFont="1" applyBorder="1" applyAlignment="1" applyProtection="1">
      <alignment horizontal="left" vertical="top"/>
    </xf>
    <xf numFmtId="37" fontId="3" fillId="0" borderId="12" xfId="3" applyFont="1" applyBorder="1" applyAlignment="1">
      <alignment horizontal="right"/>
    </xf>
    <xf numFmtId="37" fontId="3" fillId="0" borderId="6" xfId="3" applyFont="1" applyBorder="1" applyAlignment="1">
      <alignment horizontal="right"/>
    </xf>
    <xf numFmtId="37" fontId="3" fillId="0" borderId="7" xfId="3" applyFont="1" applyBorder="1" applyAlignment="1">
      <alignment horizontal="centerContinuous"/>
    </xf>
    <xf numFmtId="37" fontId="3" fillId="0" borderId="6" xfId="3" applyFont="1" applyBorder="1" applyAlignment="1">
      <alignment horizontal="centerContinuous"/>
    </xf>
    <xf numFmtId="37" fontId="3" fillId="0" borderId="6" xfId="3" applyFont="1" applyBorder="1" applyAlignment="1">
      <alignment horizontal="left"/>
    </xf>
    <xf numFmtId="176" fontId="3" fillId="0" borderId="12" xfId="3" applyNumberFormat="1" applyFont="1" applyBorder="1" applyAlignment="1">
      <alignment horizontal="left" indent="3"/>
    </xf>
    <xf numFmtId="37" fontId="3" fillId="0" borderId="0" xfId="3" applyFont="1" applyBorder="1" applyAlignment="1">
      <alignment horizontal="center"/>
    </xf>
    <xf numFmtId="37" fontId="3" fillId="0" borderId="6" xfId="3" applyFont="1" applyBorder="1" applyAlignment="1">
      <alignment horizontal="center"/>
    </xf>
    <xf numFmtId="37" fontId="3" fillId="0" borderId="7" xfId="3" applyFont="1" applyFill="1" applyBorder="1"/>
    <xf numFmtId="176" fontId="3" fillId="0" borderId="0" xfId="3" applyNumberFormat="1" applyFont="1" applyBorder="1" applyAlignment="1">
      <alignment horizontal="center"/>
    </xf>
    <xf numFmtId="176" fontId="3" fillId="0" borderId="12" xfId="3" applyNumberFormat="1" applyFont="1" applyBorder="1" applyAlignment="1">
      <alignment horizontal="centerContinuous"/>
    </xf>
    <xf numFmtId="37" fontId="3" fillId="0" borderId="0" xfId="3" applyFont="1" applyBorder="1" applyAlignment="1">
      <alignment horizontal="centerContinuous"/>
    </xf>
    <xf numFmtId="37" fontId="3" fillId="0" borderId="6" xfId="3" applyFont="1" applyFill="1" applyBorder="1"/>
    <xf numFmtId="37" fontId="3" fillId="0" borderId="12" xfId="3" applyFont="1" applyFill="1" applyBorder="1"/>
    <xf numFmtId="37" fontId="3" fillId="0" borderId="7" xfId="3" quotePrefix="1" applyFont="1" applyFill="1" applyBorder="1" applyAlignment="1" applyProtection="1">
      <alignment horizontal="left" vertical="top"/>
    </xf>
    <xf numFmtId="37" fontId="3" fillId="0" borderId="7" xfId="3" applyFont="1" applyFill="1" applyBorder="1" applyAlignment="1">
      <alignment horizontal="centerContinuous"/>
    </xf>
    <xf numFmtId="37" fontId="3" fillId="0" borderId="6" xfId="3" applyFont="1" applyFill="1" applyBorder="1" applyAlignment="1">
      <alignment horizontal="centerContinuous" vertical="center"/>
    </xf>
    <xf numFmtId="37" fontId="3" fillId="0" borderId="6" xfId="3" applyFont="1" applyFill="1" applyBorder="1" applyAlignment="1">
      <alignment horizontal="centerContinuous"/>
    </xf>
    <xf numFmtId="37" fontId="3" fillId="0" borderId="0" xfId="3" applyFont="1" applyFill="1" applyBorder="1" applyAlignment="1">
      <alignment horizontal="centerContinuous"/>
    </xf>
    <xf numFmtId="37" fontId="3" fillId="0" borderId="0" xfId="3" applyFont="1" applyFill="1"/>
    <xf numFmtId="37" fontId="3" fillId="2" borderId="7" xfId="3" applyFont="1" applyFill="1" applyBorder="1" applyAlignment="1">
      <alignment horizontal="center"/>
    </xf>
    <xf numFmtId="37" fontId="3" fillId="2" borderId="0" xfId="3" applyFont="1" applyFill="1" applyBorder="1" applyAlignment="1">
      <alignment horizontal="center"/>
    </xf>
    <xf numFmtId="37" fontId="3" fillId="0" borderId="10" xfId="3" applyFont="1" applyBorder="1" applyAlignment="1"/>
    <xf numFmtId="37" fontId="3" fillId="0" borderId="13" xfId="3" applyFont="1" applyBorder="1" applyAlignment="1"/>
    <xf numFmtId="37" fontId="3" fillId="0" borderId="3" xfId="3" applyFont="1" applyBorder="1"/>
    <xf numFmtId="37" fontId="3" fillId="0" borderId="14" xfId="3" applyFont="1" applyBorder="1"/>
    <xf numFmtId="37" fontId="24" fillId="0" borderId="14" xfId="3" applyFont="1" applyBorder="1" applyAlignment="1">
      <alignment horizontal="center"/>
    </xf>
    <xf numFmtId="37" fontId="3" fillId="0" borderId="4" xfId="3" applyFont="1" applyBorder="1"/>
    <xf numFmtId="37" fontId="3" fillId="0" borderId="7" xfId="3" quotePrefix="1" applyFont="1" applyBorder="1"/>
    <xf numFmtId="37" fontId="3" fillId="0" borderId="7" xfId="3" applyFont="1" applyBorder="1" applyAlignment="1">
      <alignment horizontal="right"/>
    </xf>
    <xf numFmtId="37" fontId="34" fillId="0" borderId="0" xfId="3" applyFont="1" applyBorder="1" applyAlignment="1">
      <alignment horizontal="centerContinuous"/>
    </xf>
    <xf numFmtId="37" fontId="3" fillId="0" borderId="0" xfId="3" applyFont="1" applyBorder="1" applyAlignment="1">
      <alignment horizontal="right"/>
    </xf>
    <xf numFmtId="37" fontId="3" fillId="0" borderId="7" xfId="3" applyFont="1" applyBorder="1" applyAlignment="1">
      <alignment horizontal="right" vertical="center"/>
    </xf>
    <xf numFmtId="37" fontId="3" fillId="0" borderId="8" xfId="3" applyFont="1" applyBorder="1"/>
    <xf numFmtId="37" fontId="3" fillId="0" borderId="8" xfId="3" applyFont="1" applyBorder="1" applyAlignment="1">
      <alignment horizontal="right"/>
    </xf>
    <xf numFmtId="37" fontId="3" fillId="0" borderId="8" xfId="3" applyFont="1" applyBorder="1" applyAlignment="1">
      <alignment horizontal="right" vertical="center"/>
    </xf>
    <xf numFmtId="37" fontId="3" fillId="0" borderId="13" xfId="3" applyFont="1" applyBorder="1" applyAlignment="1">
      <alignment horizontal="center"/>
    </xf>
    <xf numFmtId="37" fontId="3" fillId="0" borderId="9" xfId="3" applyFont="1" applyBorder="1" applyAlignment="1">
      <alignment horizontal="center"/>
    </xf>
    <xf numFmtId="37" fontId="3" fillId="0" borderId="13" xfId="3" applyFont="1" applyFill="1" applyBorder="1"/>
    <xf numFmtId="3" fontId="3" fillId="0" borderId="12" xfId="3" applyNumberFormat="1" applyFont="1" applyFill="1" applyBorder="1" applyAlignment="1" applyProtection="1">
      <alignment horizontal="center"/>
    </xf>
    <xf numFmtId="37" fontId="3" fillId="0" borderId="12" xfId="3" applyFont="1" applyBorder="1" applyAlignment="1">
      <alignment horizontal="center"/>
    </xf>
    <xf numFmtId="37" fontId="3" fillId="0" borderId="12" xfId="3" applyFont="1" applyBorder="1" applyAlignment="1">
      <alignment horizontal="centerContinuous"/>
    </xf>
    <xf numFmtId="37" fontId="3" fillId="0" borderId="12" xfId="3" applyFont="1" applyBorder="1" applyAlignment="1">
      <alignment horizontal="right" vertical="center"/>
    </xf>
    <xf numFmtId="37" fontId="3" fillId="0" borderId="13" xfId="3" applyFont="1" applyFill="1" applyBorder="1" applyAlignment="1"/>
    <xf numFmtId="37" fontId="3" fillId="0" borderId="10" xfId="3" applyFont="1" applyFill="1" applyBorder="1" applyAlignment="1"/>
    <xf numFmtId="37" fontId="3" fillId="0" borderId="11" xfId="3" applyFont="1" applyBorder="1" applyAlignment="1">
      <alignment horizontal="right"/>
    </xf>
    <xf numFmtId="37" fontId="3" fillId="0" borderId="12" xfId="3" quotePrefix="1" applyFont="1" applyFill="1" applyBorder="1" applyAlignment="1" applyProtection="1">
      <alignment horizontal="left" vertical="top"/>
    </xf>
    <xf numFmtId="37" fontId="3" fillId="0" borderId="6" xfId="3" applyFont="1" applyFill="1" applyBorder="1" applyAlignment="1">
      <alignment horizontal="left"/>
    </xf>
    <xf numFmtId="37" fontId="3" fillId="0" borderId="0" xfId="3" applyFont="1" applyBorder="1" applyAlignment="1">
      <alignment horizontal="left"/>
    </xf>
    <xf numFmtId="37" fontId="3" fillId="0" borderId="0" xfId="3" quotePrefix="1" applyFont="1" applyBorder="1" applyAlignment="1" applyProtection="1">
      <alignment horizontal="left" vertical="top"/>
    </xf>
    <xf numFmtId="37" fontId="29" fillId="0" borderId="0" xfId="3" quotePrefix="1" applyFont="1" applyBorder="1" applyAlignment="1" applyProtection="1">
      <alignment horizontal="left" vertical="top"/>
    </xf>
    <xf numFmtId="37" fontId="29" fillId="0" borderId="0" xfId="3" applyFont="1" applyBorder="1"/>
    <xf numFmtId="37" fontId="29" fillId="0" borderId="0" xfId="3" applyFont="1" applyBorder="1" applyAlignment="1">
      <alignment horizontal="left"/>
    </xf>
    <xf numFmtId="37" fontId="29" fillId="0" borderId="0" xfId="3" applyFont="1" applyBorder="1" applyAlignment="1">
      <alignment horizontal="centerContinuous"/>
    </xf>
    <xf numFmtId="37" fontId="29" fillId="0" borderId="0" xfId="3" applyFont="1" applyAlignment="1" applyProtection="1">
      <alignment horizontal="left"/>
    </xf>
    <xf numFmtId="37" fontId="29" fillId="0" borderId="0" xfId="3" applyFont="1"/>
    <xf numFmtId="167" fontId="29" fillId="0" borderId="0" xfId="3" applyNumberFormat="1" applyFont="1" applyFill="1" applyAlignment="1" applyProtection="1">
      <alignment horizontal="left"/>
    </xf>
    <xf numFmtId="167" fontId="25" fillId="0" borderId="0" xfId="1" applyFont="1" applyFill="1"/>
    <xf numFmtId="167" fontId="24" fillId="0" borderId="0" xfId="1" applyFont="1" applyFill="1" applyAlignment="1" applyProtection="1">
      <alignment horizontal="centerContinuous" vertical="center"/>
    </xf>
    <xf numFmtId="167" fontId="3" fillId="0" borderId="0" xfId="1" applyFont="1" applyFill="1" applyAlignment="1">
      <alignment horizontal="centerContinuous" vertical="center"/>
    </xf>
    <xf numFmtId="167" fontId="3" fillId="0" borderId="0" xfId="1" applyFont="1" applyFill="1" applyBorder="1" applyAlignment="1">
      <alignment vertical="center"/>
    </xf>
    <xf numFmtId="167" fontId="3" fillId="0" borderId="15" xfId="1" applyFont="1" applyFill="1" applyBorder="1" applyAlignment="1" applyProtection="1">
      <alignment horizontal="center" vertical="center"/>
    </xf>
    <xf numFmtId="167" fontId="3" fillId="0" borderId="0" xfId="1" applyFont="1" applyFill="1" applyProtection="1"/>
    <xf numFmtId="175" fontId="24" fillId="0" borderId="0" xfId="1" applyNumberFormat="1" applyFont="1" applyFill="1" applyBorder="1" applyAlignment="1" applyProtection="1">
      <alignment horizontal="right" vertical="center"/>
    </xf>
    <xf numFmtId="175" fontId="24" fillId="0" borderId="0" xfId="1" applyNumberFormat="1" applyFont="1" applyFill="1" applyBorder="1"/>
    <xf numFmtId="175" fontId="3" fillId="0" borderId="7" xfId="1" applyNumberFormat="1" applyFont="1" applyFill="1" applyBorder="1" applyProtection="1"/>
    <xf numFmtId="175" fontId="24" fillId="0" borderId="6" xfId="1" applyNumberFormat="1" applyFont="1" applyFill="1" applyBorder="1" applyAlignment="1" applyProtection="1">
      <alignment horizontal="right" vertical="center"/>
    </xf>
    <xf numFmtId="175" fontId="3" fillId="0" borderId="0" xfId="1" applyNumberFormat="1" applyFont="1" applyFill="1" applyBorder="1" applyAlignment="1" applyProtection="1">
      <alignment horizontal="right" vertical="center"/>
    </xf>
    <xf numFmtId="175" fontId="3" fillId="0" borderId="6" xfId="1" applyNumberFormat="1" applyFont="1" applyFill="1" applyBorder="1" applyAlignment="1" applyProtection="1">
      <alignment horizontal="right" vertical="center"/>
    </xf>
    <xf numFmtId="37" fontId="3" fillId="0" borderId="0" xfId="1" applyNumberFormat="1" applyFont="1" applyFill="1" applyBorder="1"/>
    <xf numFmtId="167" fontId="3" fillId="0" borderId="12" xfId="1" quotePrefix="1" applyFont="1" applyFill="1" applyBorder="1" applyAlignment="1">
      <alignment horizontal="left"/>
    </xf>
    <xf numFmtId="167" fontId="3" fillId="0" borderId="0" xfId="1" quotePrefix="1" applyFont="1" applyFill="1" applyBorder="1"/>
    <xf numFmtId="167" fontId="3" fillId="0" borderId="0" xfId="1" quotePrefix="1" applyFont="1" applyFill="1" applyBorder="1" applyAlignment="1">
      <alignment horizontal="left"/>
    </xf>
    <xf numFmtId="175" fontId="34" fillId="0" borderId="0" xfId="1" applyNumberFormat="1" applyFont="1" applyFill="1" applyBorder="1" applyAlignment="1" applyProtection="1">
      <alignment horizontal="right" vertical="center"/>
    </xf>
    <xf numFmtId="175" fontId="3" fillId="0" borderId="7" xfId="1" applyNumberFormat="1" applyFont="1" applyFill="1" applyBorder="1"/>
    <xf numFmtId="167" fontId="3" fillId="0" borderId="13" xfId="1" quotePrefix="1" applyFont="1" applyFill="1" applyBorder="1" applyAlignment="1">
      <alignment horizontal="left"/>
    </xf>
    <xf numFmtId="175" fontId="3" fillId="0" borderId="8" xfId="1" applyNumberFormat="1" applyFont="1" applyFill="1" applyBorder="1"/>
    <xf numFmtId="175" fontId="3" fillId="0" borderId="9" xfId="1" applyNumberFormat="1" applyFont="1" applyFill="1" applyBorder="1"/>
    <xf numFmtId="175" fontId="3" fillId="0" borderId="9" xfId="1" applyNumberFormat="1" applyFont="1" applyFill="1" applyBorder="1" applyAlignment="1" applyProtection="1">
      <alignment horizontal="right" vertical="center"/>
    </xf>
    <xf numFmtId="175" fontId="34" fillId="0" borderId="9" xfId="1" applyNumberFormat="1" applyFont="1" applyFill="1" applyBorder="1" applyAlignment="1" applyProtection="1">
      <alignment horizontal="right" vertical="center"/>
    </xf>
    <xf numFmtId="175" fontId="3" fillId="0" borderId="13" xfId="1" applyNumberFormat="1" applyFont="1" applyFill="1" applyBorder="1" applyProtection="1"/>
    <xf numFmtId="10" fontId="24" fillId="0" borderId="0" xfId="1" applyNumberFormat="1" applyFont="1" applyFill="1" applyAlignment="1" applyProtection="1">
      <alignment horizontal="centerContinuous" vertical="center"/>
    </xf>
    <xf numFmtId="10" fontId="3" fillId="0" borderId="0" xfId="1" applyNumberFormat="1" applyFont="1" applyFill="1" applyAlignment="1">
      <alignment vertical="center"/>
    </xf>
    <xf numFmtId="167" fontId="3" fillId="0" borderId="15" xfId="1" applyFont="1" applyFill="1" applyBorder="1" applyAlignment="1">
      <alignment vertical="center"/>
    </xf>
    <xf numFmtId="167" fontId="3" fillId="0" borderId="0" xfId="1" applyFont="1" applyFill="1" applyBorder="1" applyAlignment="1" applyProtection="1">
      <alignment horizontal="center" vertical="center"/>
    </xf>
    <xf numFmtId="179" fontId="3" fillId="0" borderId="0" xfId="1" applyNumberFormat="1" applyFont="1" applyFill="1" applyBorder="1" applyProtection="1"/>
    <xf numFmtId="179" fontId="3" fillId="0" borderId="12" xfId="1" applyNumberFormat="1" applyFont="1" applyFill="1" applyBorder="1" applyProtection="1"/>
    <xf numFmtId="179" fontId="3" fillId="0" borderId="0" xfId="1" applyNumberFormat="1" applyFont="1" applyFill="1" applyBorder="1" applyAlignment="1" applyProtection="1"/>
    <xf numFmtId="179" fontId="3" fillId="0" borderId="12" xfId="1" applyNumberFormat="1" applyFont="1" applyFill="1" applyBorder="1" applyAlignment="1" applyProtection="1"/>
    <xf numFmtId="179" fontId="3" fillId="0" borderId="0" xfId="1" applyNumberFormat="1" applyFont="1" applyFill="1" applyBorder="1" applyAlignment="1"/>
    <xf numFmtId="179" fontId="3" fillId="0" borderId="12" xfId="1" applyNumberFormat="1" applyFont="1" applyFill="1" applyBorder="1" applyAlignment="1"/>
    <xf numFmtId="179" fontId="24" fillId="0" borderId="0" xfId="1" applyNumberFormat="1" applyFont="1" applyFill="1" applyBorder="1" applyAlignment="1">
      <alignment horizontal="left" indent="3"/>
    </xf>
    <xf numFmtId="179" fontId="3" fillId="0" borderId="6" xfId="1" applyNumberFormat="1" applyFont="1" applyFill="1" applyBorder="1" applyAlignment="1"/>
    <xf numFmtId="179" fontId="3" fillId="0" borderId="7" xfId="1" applyNumberFormat="1" applyFont="1" applyFill="1" applyBorder="1" applyAlignment="1"/>
    <xf numFmtId="167" fontId="3" fillId="0" borderId="0" xfId="1" applyFont="1" applyFill="1" applyBorder="1" applyAlignment="1"/>
    <xf numFmtId="179" fontId="3" fillId="0" borderId="8" xfId="1" applyNumberFormat="1" applyFont="1" applyFill="1" applyBorder="1" applyAlignment="1"/>
    <xf numFmtId="179" fontId="24" fillId="0" borderId="9" xfId="1" applyNumberFormat="1" applyFont="1" applyFill="1" applyBorder="1" applyAlignment="1">
      <alignment horizontal="left" indent="3"/>
    </xf>
    <xf numFmtId="179" fontId="3" fillId="0" borderId="9" xfId="1" applyNumberFormat="1" applyFont="1" applyFill="1" applyBorder="1" applyAlignment="1"/>
    <xf numFmtId="179" fontId="3" fillId="0" borderId="10" xfId="1" applyNumberFormat="1" applyFont="1" applyFill="1" applyBorder="1" applyAlignment="1"/>
    <xf numFmtId="179" fontId="3" fillId="0" borderId="13" xfId="1" applyNumberFormat="1" applyFont="1" applyFill="1" applyBorder="1" applyAlignment="1"/>
    <xf numFmtId="167" fontId="3" fillId="0" borderId="0" xfId="1" applyFont="1" applyFill="1" applyAlignment="1"/>
    <xf numFmtId="167" fontId="3" fillId="0" borderId="9" xfId="1" applyFont="1" applyFill="1" applyBorder="1" applyAlignment="1">
      <alignment vertical="center"/>
    </xf>
    <xf numFmtId="167" fontId="24" fillId="0" borderId="9" xfId="1" applyFont="1" applyFill="1" applyBorder="1" applyAlignment="1">
      <alignment vertical="center"/>
    </xf>
    <xf numFmtId="167" fontId="29" fillId="0" borderId="0" xfId="1" applyFont="1" applyFill="1"/>
    <xf numFmtId="167" fontId="29" fillId="0" borderId="0" xfId="1" applyFont="1" applyFill="1" applyBorder="1"/>
    <xf numFmtId="167" fontId="3" fillId="0" borderId="14" xfId="1" applyFont="1" applyFill="1" applyBorder="1" applyAlignment="1">
      <alignment horizontal="center" vertical="center"/>
    </xf>
    <xf numFmtId="167" fontId="3" fillId="0" borderId="4" xfId="1" applyFont="1" applyFill="1" applyBorder="1" applyAlignment="1">
      <alignment horizontal="center" vertical="center"/>
    </xf>
    <xf numFmtId="37" fontId="3" fillId="0" borderId="15" xfId="1" applyNumberFormat="1" applyFont="1" applyFill="1" applyBorder="1" applyAlignment="1">
      <alignment horizontal="center" vertical="center"/>
    </xf>
    <xf numFmtId="167" fontId="3" fillId="0" borderId="12" xfId="1" quotePrefix="1" applyFont="1" applyFill="1" applyBorder="1"/>
    <xf numFmtId="37" fontId="3" fillId="0" borderId="12" xfId="1" applyNumberFormat="1" applyFont="1" applyFill="1" applyBorder="1"/>
    <xf numFmtId="167" fontId="35" fillId="0" borderId="0" xfId="1" applyFont="1" applyFill="1"/>
    <xf numFmtId="167" fontId="3" fillId="0" borderId="8" xfId="1" applyFont="1" applyFill="1" applyBorder="1"/>
    <xf numFmtId="167" fontId="3" fillId="0" borderId="10" xfId="1" applyFont="1" applyFill="1" applyBorder="1"/>
    <xf numFmtId="37" fontId="3" fillId="0" borderId="13" xfId="1" applyNumberFormat="1" applyFont="1" applyFill="1" applyBorder="1"/>
    <xf numFmtId="167" fontId="29" fillId="0" borderId="0" xfId="1" applyNumberFormat="1" applyFont="1" applyFill="1" applyAlignment="1" applyProtection="1">
      <alignment horizontal="left"/>
    </xf>
    <xf numFmtId="167" fontId="3" fillId="0" borderId="0" xfId="1" applyFont="1" applyFill="1" applyAlignment="1">
      <alignment horizontal="center"/>
    </xf>
    <xf numFmtId="3" fontId="3" fillId="0" borderId="0" xfId="1" applyNumberFormat="1" applyFont="1" applyFill="1" applyAlignment="1" applyProtection="1">
      <alignment horizontal="center"/>
    </xf>
    <xf numFmtId="167" fontId="3" fillId="0" borderId="12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 applyAlignment="1" applyProtection="1">
      <alignment horizontal="centerContinuous" vertical="center"/>
    </xf>
    <xf numFmtId="175" fontId="3" fillId="0" borderId="12" xfId="1" applyNumberFormat="1" applyFont="1" applyFill="1" applyBorder="1" applyAlignment="1" applyProtection="1">
      <alignment horizontal="fill" vertical="center"/>
    </xf>
    <xf numFmtId="175" fontId="24" fillId="0" borderId="0" xfId="1" applyNumberFormat="1" applyFont="1" applyFill="1" applyBorder="1" applyAlignment="1" applyProtection="1">
      <alignment horizontal="left"/>
    </xf>
    <xf numFmtId="175" fontId="3" fillId="0" borderId="12" xfId="1" applyNumberFormat="1" applyFont="1" applyFill="1" applyBorder="1" applyAlignment="1" applyProtection="1">
      <alignment horizontal="left" vertical="center"/>
    </xf>
    <xf numFmtId="175" fontId="3" fillId="0" borderId="12" xfId="1" applyNumberFormat="1" applyFont="1" applyFill="1" applyBorder="1" applyAlignment="1" applyProtection="1"/>
    <xf numFmtId="167" fontId="3" fillId="0" borderId="12" xfId="1" quotePrefix="1" applyFont="1" applyFill="1" applyBorder="1" applyAlignment="1">
      <alignment horizontal="left" vertical="center"/>
    </xf>
    <xf numFmtId="175" fontId="3" fillId="0" borderId="0" xfId="1" quotePrefix="1" applyNumberFormat="1" applyFont="1" applyFill="1" applyBorder="1" applyAlignment="1" applyProtection="1">
      <alignment horizontal="left" vertical="center" indent="4"/>
    </xf>
    <xf numFmtId="175" fontId="3" fillId="0" borderId="10" xfId="1" applyNumberFormat="1" applyFont="1" applyFill="1" applyBorder="1" applyAlignment="1" applyProtection="1">
      <alignment horizontal="left" vertical="center"/>
    </xf>
    <xf numFmtId="3" fontId="3" fillId="0" borderId="11" xfId="1" applyNumberFormat="1" applyFont="1" applyFill="1" applyBorder="1"/>
    <xf numFmtId="175" fontId="3" fillId="0" borderId="2" xfId="1" applyNumberFormat="1" applyFont="1" applyFill="1" applyBorder="1" applyAlignment="1">
      <alignment horizontal="center"/>
    </xf>
    <xf numFmtId="175" fontId="3" fillId="0" borderId="2" xfId="1" applyNumberFormat="1" applyFont="1" applyFill="1" applyBorder="1" applyAlignment="1" applyProtection="1">
      <alignment horizontal="center"/>
    </xf>
    <xf numFmtId="175" fontId="3" fillId="0" borderId="11" xfId="1" applyNumberFormat="1" applyFont="1" applyFill="1" applyBorder="1" applyAlignment="1">
      <alignment horizontal="center"/>
    </xf>
    <xf numFmtId="3" fontId="3" fillId="0" borderId="0" xfId="1" applyNumberFormat="1" applyFont="1" applyFill="1"/>
    <xf numFmtId="175" fontId="3" fillId="0" borderId="0" xfId="1" applyNumberFormat="1" applyFont="1" applyFill="1" applyBorder="1" applyAlignment="1" applyProtection="1">
      <alignment horizontal="center"/>
    </xf>
    <xf numFmtId="175" fontId="3" fillId="0" borderId="12" xfId="1" applyNumberFormat="1" applyFont="1" applyFill="1" applyBorder="1" applyAlignment="1" applyProtection="1">
      <alignment horizontal="center"/>
    </xf>
    <xf numFmtId="3" fontId="3" fillId="0" borderId="13" xfId="1" applyNumberFormat="1" applyFont="1" applyFill="1" applyBorder="1" applyAlignment="1" applyProtection="1">
      <alignment horizontal="left"/>
    </xf>
    <xf numFmtId="175" fontId="3" fillId="0" borderId="9" xfId="1" applyNumberFormat="1" applyFont="1" applyFill="1" applyBorder="1" applyAlignment="1" applyProtection="1">
      <alignment horizontal="center"/>
    </xf>
    <xf numFmtId="175" fontId="3" fillId="0" borderId="13" xfId="1" applyNumberFormat="1" applyFont="1" applyFill="1" applyBorder="1" applyAlignment="1">
      <alignment horizontal="center"/>
    </xf>
    <xf numFmtId="167" fontId="3" fillId="0" borderId="11" xfId="1" applyFont="1" applyFill="1" applyBorder="1" applyAlignment="1" applyProtection="1">
      <alignment horizontal="left"/>
    </xf>
    <xf numFmtId="175" fontId="24" fillId="0" borderId="1" xfId="1" applyNumberFormat="1" applyFont="1" applyFill="1" applyBorder="1" applyAlignment="1" applyProtection="1">
      <alignment horizontal="centerContinuous" vertical="center"/>
    </xf>
    <xf numFmtId="175" fontId="24" fillId="0" borderId="2" xfId="1" applyNumberFormat="1" applyFont="1" applyFill="1" applyBorder="1" applyAlignment="1" applyProtection="1">
      <alignment horizontal="centerContinuous" vertical="center"/>
    </xf>
    <xf numFmtId="175" fontId="24" fillId="0" borderId="5" xfId="1" applyNumberFormat="1" applyFont="1" applyFill="1" applyBorder="1" applyAlignment="1" applyProtection="1">
      <alignment horizontal="centerContinuous" vertical="center"/>
    </xf>
    <xf numFmtId="175" fontId="24" fillId="0" borderId="11" xfId="1" applyNumberFormat="1" applyFont="1" applyFill="1" applyBorder="1" applyAlignment="1" applyProtection="1">
      <alignment vertical="center"/>
    </xf>
    <xf numFmtId="175" fontId="3" fillId="0" borderId="7" xfId="1" applyNumberFormat="1" applyFont="1" applyFill="1" applyBorder="1" applyAlignment="1" applyProtection="1">
      <alignment horizontal="center"/>
    </xf>
    <xf numFmtId="175" fontId="3" fillId="0" borderId="0" xfId="1" applyNumberFormat="1" applyFont="1" applyFill="1" applyBorder="1" applyAlignment="1" applyProtection="1">
      <alignment horizontal="center" vertical="top"/>
    </xf>
    <xf numFmtId="175" fontId="3" fillId="0" borderId="7" xfId="1" applyNumberFormat="1" applyFont="1" applyFill="1" applyBorder="1" applyAlignment="1" applyProtection="1">
      <alignment horizontal="centerContinuous" vertical="top"/>
    </xf>
    <xf numFmtId="175" fontId="3" fillId="0" borderId="0" xfId="1" applyNumberFormat="1" applyFont="1" applyFill="1" applyBorder="1" applyAlignment="1" applyProtection="1">
      <alignment horizontal="centerContinuous" vertical="top"/>
    </xf>
    <xf numFmtId="175" fontId="3" fillId="0" borderId="6" xfId="1" applyNumberFormat="1" applyFont="1" applyFill="1" applyBorder="1" applyAlignment="1" applyProtection="1">
      <alignment horizontal="centerContinuous" vertical="top"/>
    </xf>
    <xf numFmtId="175" fontId="3" fillId="0" borderId="12" xfId="1" applyNumberFormat="1" applyFont="1" applyFill="1" applyBorder="1" applyAlignment="1" applyProtection="1">
      <alignment horizontal="right" vertical="top"/>
    </xf>
    <xf numFmtId="175" fontId="3" fillId="0" borderId="0" xfId="1" applyNumberFormat="1" applyFont="1" applyFill="1" applyBorder="1" applyAlignment="1" applyProtection="1">
      <alignment horizontal="right" vertical="top" indent="1"/>
    </xf>
    <xf numFmtId="175" fontId="3" fillId="0" borderId="6" xfId="1" applyNumberFormat="1" applyFont="1" applyFill="1" applyBorder="1" applyAlignment="1" applyProtection="1">
      <alignment horizontal="center" vertical="top"/>
    </xf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Alignment="1">
      <alignment horizontal="right" indent="1"/>
    </xf>
    <xf numFmtId="175" fontId="3" fillId="0" borderId="6" xfId="1" applyNumberFormat="1" applyFont="1" applyFill="1" applyBorder="1" applyAlignment="1">
      <alignment horizontal="center"/>
    </xf>
    <xf numFmtId="37" fontId="3" fillId="0" borderId="8" xfId="1" quotePrefix="1" applyNumberFormat="1" applyFont="1" applyFill="1" applyBorder="1" applyAlignment="1" applyProtection="1">
      <alignment horizontal="left" vertical="top"/>
    </xf>
    <xf numFmtId="175" fontId="3" fillId="0" borderId="8" xfId="1" applyNumberFormat="1" applyFont="1" applyFill="1" applyBorder="1" applyAlignment="1" applyProtection="1">
      <alignment horizontal="center"/>
    </xf>
    <xf numFmtId="175" fontId="3" fillId="0" borderId="9" xfId="1" applyNumberFormat="1" applyFont="1" applyFill="1" applyBorder="1" applyAlignment="1" applyProtection="1">
      <alignment horizontal="center" vertical="top"/>
    </xf>
    <xf numFmtId="175" fontId="3" fillId="0" borderId="9" xfId="1" applyNumberFormat="1" applyFont="1" applyFill="1" applyBorder="1" applyAlignment="1">
      <alignment horizontal="center"/>
    </xf>
    <xf numFmtId="175" fontId="3" fillId="0" borderId="9" xfId="1" applyNumberFormat="1" applyFont="1" applyFill="1" applyBorder="1" applyAlignment="1">
      <alignment horizontal="right" indent="1"/>
    </xf>
    <xf numFmtId="175" fontId="3" fillId="0" borderId="10" xfId="1" applyNumberFormat="1" applyFont="1" applyFill="1" applyBorder="1" applyAlignment="1">
      <alignment horizontal="center"/>
    </xf>
    <xf numFmtId="175" fontId="3" fillId="0" borderId="13" xfId="1" applyNumberFormat="1" applyFont="1" applyFill="1" applyBorder="1" applyAlignment="1" applyProtection="1">
      <alignment horizontal="right" vertical="top"/>
    </xf>
    <xf numFmtId="167" fontId="3" fillId="0" borderId="0" xfId="1" quotePrefix="1" applyFont="1" applyFill="1" applyBorder="1" applyAlignment="1">
      <alignment horizontal="left" vertical="center"/>
    </xf>
    <xf numFmtId="175" fontId="3" fillId="0" borderId="0" xfId="1" applyNumberFormat="1" applyFont="1" applyFill="1" applyBorder="1" applyAlignment="1" applyProtection="1">
      <alignment horizontal="right" vertical="top"/>
    </xf>
    <xf numFmtId="167" fontId="3" fillId="0" borderId="0" xfId="1" applyFont="1" applyFill="1" applyBorder="1" applyAlignment="1">
      <alignment horizontal="left" vertical="center"/>
    </xf>
    <xf numFmtId="175" fontId="3" fillId="0" borderId="0" xfId="1" applyNumberFormat="1" applyFont="1" applyFill="1"/>
    <xf numFmtId="175" fontId="24" fillId="0" borderId="0" xfId="1" applyNumberFormat="1" applyFont="1" applyFill="1" applyAlignment="1">
      <alignment horizontal="centerContinuous" vertical="center"/>
    </xf>
    <xf numFmtId="175" fontId="3" fillId="0" borderId="0" xfId="1" applyNumberFormat="1" applyFont="1" applyFill="1" applyAlignment="1">
      <alignment horizontal="centerContinuous" vertical="center"/>
    </xf>
    <xf numFmtId="37" fontId="3" fillId="0" borderId="0" xfId="1" applyNumberFormat="1" applyFont="1" applyFill="1" applyBorder="1" applyAlignment="1">
      <alignment horizontal="centerContinuous" vertical="center"/>
    </xf>
    <xf numFmtId="37" fontId="24" fillId="0" borderId="0" xfId="1" applyNumberFormat="1" applyFont="1" applyFill="1" applyBorder="1" applyAlignment="1">
      <alignment horizontal="centerContinuous" vertical="center"/>
    </xf>
    <xf numFmtId="175" fontId="3" fillId="0" borderId="5" xfId="1" applyNumberFormat="1" applyFont="1" applyFill="1" applyBorder="1"/>
    <xf numFmtId="3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/>
    <xf numFmtId="175" fontId="3" fillId="0" borderId="6" xfId="1" applyNumberFormat="1" applyFont="1" applyFill="1" applyBorder="1" applyAlignment="1" applyProtection="1">
      <alignment horizontal="center"/>
    </xf>
    <xf numFmtId="175" fontId="3" fillId="0" borderId="10" xfId="1" applyNumberFormat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left"/>
    </xf>
    <xf numFmtId="37" fontId="3" fillId="0" borderId="3" xfId="1" applyNumberFormat="1" applyFont="1" applyFill="1" applyBorder="1"/>
    <xf numFmtId="175" fontId="3" fillId="0" borderId="14" xfId="1" applyNumberFormat="1" applyFont="1" applyFill="1" applyBorder="1"/>
    <xf numFmtId="175" fontId="24" fillId="0" borderId="14" xfId="1" applyNumberFormat="1" applyFont="1" applyFill="1" applyBorder="1" applyAlignment="1">
      <alignment horizontal="centerContinuous" vertical="center"/>
    </xf>
    <xf numFmtId="175" fontId="3" fillId="0" borderId="14" xfId="1" applyNumberFormat="1" applyFont="1" applyFill="1" applyBorder="1" applyAlignment="1">
      <alignment horizontal="center" vertical="center"/>
    </xf>
    <xf numFmtId="175" fontId="3" fillId="0" borderId="14" xfId="1" applyNumberFormat="1" applyFont="1" applyFill="1" applyBorder="1" applyAlignment="1" applyProtection="1">
      <alignment horizontal="right" vertical="top"/>
    </xf>
    <xf numFmtId="175" fontId="3" fillId="0" borderId="4" xfId="1" applyNumberFormat="1" applyFont="1" applyFill="1" applyBorder="1"/>
    <xf numFmtId="175" fontId="3" fillId="0" borderId="12" xfId="1" applyNumberFormat="1" applyFont="1" applyFill="1" applyBorder="1" applyAlignment="1">
      <alignment horizontal="center"/>
    </xf>
    <xf numFmtId="175" fontId="3" fillId="0" borderId="1" xfId="1" applyNumberFormat="1" applyFont="1" applyFill="1" applyBorder="1" applyAlignment="1">
      <alignment horizontal="centerContinuous"/>
    </xf>
    <xf numFmtId="175" fontId="3" fillId="0" borderId="5" xfId="1" applyNumberFormat="1" applyFont="1" applyFill="1" applyBorder="1" applyAlignment="1">
      <alignment horizontal="centerContinuous"/>
    </xf>
    <xf numFmtId="175" fontId="3" fillId="0" borderId="2" xfId="1" applyNumberFormat="1" applyFont="1" applyFill="1" applyBorder="1" applyAlignment="1">
      <alignment horizontal="centerContinuous"/>
    </xf>
    <xf numFmtId="175" fontId="3" fillId="0" borderId="11" xfId="1" quotePrefix="1" applyNumberFormat="1" applyFont="1" applyFill="1" applyBorder="1" applyAlignment="1" applyProtection="1">
      <alignment horizontal="right" vertical="top"/>
    </xf>
    <xf numFmtId="176" fontId="3" fillId="0" borderId="0" xfId="1" applyNumberFormat="1" applyFont="1" applyFill="1" applyBorder="1" applyAlignment="1" applyProtection="1"/>
    <xf numFmtId="37" fontId="3" fillId="0" borderId="0" xfId="1" quotePrefix="1" applyNumberFormat="1" applyFont="1" applyFill="1" applyBorder="1" applyAlignment="1" applyProtection="1">
      <alignment horizontal="left" vertical="top"/>
    </xf>
    <xf numFmtId="175" fontId="3" fillId="0" borderId="0" xfId="1" applyNumberFormat="1" applyFont="1" applyFill="1" applyBorder="1" applyAlignment="1">
      <alignment horizontal="centerContinuous"/>
    </xf>
    <xf numFmtId="175" fontId="3" fillId="0" borderId="6" xfId="1" applyNumberFormat="1" applyFont="1" applyFill="1" applyBorder="1" applyAlignment="1">
      <alignment horizontal="centerContinuous"/>
    </xf>
    <xf numFmtId="175" fontId="3" fillId="0" borderId="7" xfId="1" applyNumberFormat="1" applyFont="1" applyFill="1" applyBorder="1" applyAlignment="1">
      <alignment horizontal="centerContinuous"/>
    </xf>
    <xf numFmtId="175" fontId="3" fillId="0" borderId="12" xfId="1" quotePrefix="1" applyNumberFormat="1" applyFont="1" applyFill="1" applyBorder="1" applyAlignment="1" applyProtection="1">
      <alignment horizontal="right" vertical="top"/>
    </xf>
    <xf numFmtId="175" fontId="3" fillId="0" borderId="0" xfId="1" applyNumberFormat="1" applyFont="1" applyFill="1" applyBorder="1" applyAlignment="1" applyProtection="1">
      <alignment horizontal="centerContinuous"/>
    </xf>
    <xf numFmtId="3" fontId="3" fillId="0" borderId="0" xfId="1" applyNumberFormat="1" applyFont="1" applyFill="1" applyBorder="1" applyAlignment="1">
      <alignment horizontal="right" vertical="center"/>
    </xf>
    <xf numFmtId="175" fontId="3" fillId="0" borderId="7" xfId="1" applyNumberFormat="1" applyFont="1" applyFill="1" applyBorder="1" applyAlignment="1">
      <alignment horizontal="center"/>
    </xf>
    <xf numFmtId="175" fontId="3" fillId="0" borderId="7" xfId="1" applyNumberFormat="1" applyFont="1" applyFill="1" applyBorder="1" applyAlignment="1">
      <alignment horizontal="center" vertical="center"/>
    </xf>
    <xf numFmtId="175" fontId="3" fillId="0" borderId="0" xfId="1" applyNumberFormat="1" applyFont="1" applyFill="1" applyBorder="1" applyAlignment="1">
      <alignment horizontal="center" vertical="center"/>
    </xf>
    <xf numFmtId="37" fontId="3" fillId="0" borderId="10" xfId="1" applyNumberFormat="1" applyFont="1" applyBorder="1" applyAlignment="1"/>
    <xf numFmtId="37" fontId="3" fillId="0" borderId="13" xfId="1" applyNumberFormat="1" applyFont="1" applyBorder="1" applyAlignment="1"/>
    <xf numFmtId="175" fontId="3" fillId="0" borderId="13" xfId="1" quotePrefix="1" applyNumberFormat="1" applyFont="1" applyFill="1" applyBorder="1" applyAlignment="1" applyProtection="1">
      <alignment horizontal="right" vertical="top"/>
    </xf>
    <xf numFmtId="37" fontId="3" fillId="0" borderId="7" xfId="1" applyNumberFormat="1" applyFont="1" applyFill="1" applyBorder="1"/>
    <xf numFmtId="175" fontId="3" fillId="0" borderId="0" xfId="1" applyNumberFormat="1" applyFont="1" applyFill="1" applyBorder="1" applyAlignment="1">
      <alignment horizontal="centerContinuous" vertical="center"/>
    </xf>
    <xf numFmtId="175" fontId="24" fillId="0" borderId="0" xfId="1" applyNumberFormat="1" applyFont="1" applyFill="1" applyBorder="1" applyAlignment="1">
      <alignment horizontal="centerContinuous" vertical="top"/>
    </xf>
    <xf numFmtId="175" fontId="24" fillId="0" borderId="0" xfId="1" applyNumberFormat="1" applyFont="1" applyFill="1" applyBorder="1" applyAlignment="1">
      <alignment horizontal="center" vertical="top"/>
    </xf>
    <xf numFmtId="175" fontId="3" fillId="0" borderId="5" xfId="1" applyNumberFormat="1" applyFont="1" applyFill="1" applyBorder="1" applyAlignment="1">
      <alignment horizontal="center"/>
    </xf>
    <xf numFmtId="175" fontId="3" fillId="0" borderId="1" xfId="1" applyNumberFormat="1" applyFont="1" applyFill="1" applyBorder="1" applyAlignment="1">
      <alignment horizontal="center"/>
    </xf>
    <xf numFmtId="175" fontId="3" fillId="0" borderId="5" xfId="1" quotePrefix="1" applyNumberFormat="1" applyFont="1" applyFill="1" applyBorder="1" applyAlignment="1" applyProtection="1">
      <alignment horizontal="right" vertical="top"/>
    </xf>
    <xf numFmtId="175" fontId="3" fillId="0" borderId="6" xfId="1" quotePrefix="1" applyNumberFormat="1" applyFont="1" applyFill="1" applyBorder="1" applyAlignment="1" applyProtection="1">
      <alignment horizontal="right" vertical="top"/>
    </xf>
    <xf numFmtId="175" fontId="3" fillId="0" borderId="7" xfId="1" applyNumberFormat="1" applyFont="1" applyFill="1" applyBorder="1" applyAlignment="1" applyProtection="1">
      <alignment horizontal="centerContinuous"/>
    </xf>
    <xf numFmtId="175" fontId="3" fillId="0" borderId="12" xfId="1" applyNumberFormat="1" applyFont="1" applyFill="1" applyBorder="1" applyAlignment="1">
      <alignment horizontal="center" vertical="center"/>
    </xf>
    <xf numFmtId="175" fontId="3" fillId="0" borderId="6" xfId="1" applyNumberFormat="1" applyFont="1" applyFill="1" applyBorder="1" applyAlignment="1">
      <alignment horizontal="center" vertical="center"/>
    </xf>
    <xf numFmtId="175" fontId="3" fillId="0" borderId="8" xfId="1" applyNumberFormat="1" applyFont="1" applyBorder="1" applyAlignment="1">
      <alignment horizontal="center"/>
    </xf>
    <xf numFmtId="175" fontId="3" fillId="0" borderId="8" xfId="1" applyNumberFormat="1" applyFont="1" applyBorder="1" applyAlignment="1">
      <alignment horizontal="center" vertical="center"/>
    </xf>
    <xf numFmtId="175" fontId="3" fillId="0" borderId="13" xfId="1" applyNumberFormat="1" applyFont="1" applyBorder="1" applyAlignment="1">
      <alignment horizontal="center"/>
    </xf>
    <xf numFmtId="175" fontId="3" fillId="0" borderId="10" xfId="1" applyNumberFormat="1" applyFont="1" applyBorder="1" applyAlignment="1">
      <alignment horizontal="center"/>
    </xf>
    <xf numFmtId="175" fontId="3" fillId="0" borderId="9" xfId="1" applyNumberFormat="1" applyFont="1" applyBorder="1" applyAlignment="1">
      <alignment horizontal="center"/>
    </xf>
    <xf numFmtId="37" fontId="3" fillId="0" borderId="8" xfId="1" applyNumberFormat="1" applyFont="1" applyFill="1" applyBorder="1"/>
    <xf numFmtId="175" fontId="24" fillId="0" borderId="9" xfId="1" applyNumberFormat="1" applyFont="1" applyFill="1" applyBorder="1" applyAlignment="1">
      <alignment horizontal="centerContinuous" vertical="top"/>
    </xf>
    <xf numFmtId="175" fontId="24" fillId="0" borderId="9" xfId="1" applyNumberFormat="1" applyFont="1" applyFill="1" applyBorder="1" applyAlignment="1">
      <alignment horizontal="center" vertical="top"/>
    </xf>
    <xf numFmtId="175" fontId="3" fillId="0" borderId="9" xfId="1" applyNumberFormat="1" applyFont="1" applyFill="1" applyBorder="1" applyAlignment="1">
      <alignment horizontal="centerContinuous" vertical="center"/>
    </xf>
    <xf numFmtId="175" fontId="3" fillId="0" borderId="1" xfId="1" applyNumberFormat="1" applyFont="1" applyFill="1" applyBorder="1" applyAlignment="1" applyProtection="1">
      <alignment horizontal="centerContinuous"/>
    </xf>
    <xf numFmtId="167" fontId="3" fillId="0" borderId="0" xfId="1" applyNumberFormat="1" applyFont="1" applyFill="1" applyBorder="1"/>
    <xf numFmtId="175" fontId="3" fillId="0" borderId="12" xfId="1" applyNumberFormat="1" applyFont="1" applyFill="1" applyBorder="1" applyAlignment="1">
      <alignment horizontal="centerContinuous"/>
    </xf>
    <xf numFmtId="37" fontId="3" fillId="0" borderId="7" xfId="1" quotePrefix="1" applyNumberFormat="1" applyFont="1" applyFill="1" applyBorder="1" applyAlignment="1" applyProtection="1">
      <alignment horizontal="right" vertical="top"/>
    </xf>
    <xf numFmtId="175" fontId="3" fillId="0" borderId="6" xfId="1" applyNumberFormat="1" applyFont="1" applyFill="1" applyBorder="1" applyAlignment="1">
      <alignment horizontal="centerContinuous" vertical="center"/>
    </xf>
    <xf numFmtId="175" fontId="3" fillId="0" borderId="12" xfId="1" applyNumberFormat="1" applyFont="1" applyFill="1" applyBorder="1" applyAlignment="1">
      <alignment horizontal="centerContinuous" vertical="center"/>
    </xf>
    <xf numFmtId="175" fontId="3" fillId="0" borderId="12" xfId="1" applyNumberFormat="1" applyFont="1" applyFill="1" applyBorder="1" applyAlignment="1" applyProtection="1">
      <alignment horizontal="centerContinuous" vertical="center"/>
    </xf>
    <xf numFmtId="167" fontId="34" fillId="0" borderId="0" xfId="1" applyFont="1" applyFill="1"/>
    <xf numFmtId="167" fontId="25" fillId="0" borderId="0" xfId="6" applyFont="1" applyFill="1" applyAlignment="1" applyProtection="1">
      <alignment horizontal="left"/>
    </xf>
    <xf numFmtId="167" fontId="26" fillId="0" borderId="0" xfId="6" applyFont="1" applyFill="1"/>
    <xf numFmtId="167" fontId="3" fillId="0" borderId="0" xfId="6" applyFont="1" applyFill="1"/>
    <xf numFmtId="167" fontId="3" fillId="0" borderId="0" xfId="6" applyFont="1" applyFill="1" applyAlignment="1">
      <alignment vertical="center"/>
    </xf>
    <xf numFmtId="167" fontId="24" fillId="0" borderId="0" xfId="6" applyFont="1" applyFill="1" applyAlignment="1" applyProtection="1">
      <alignment horizontal="center" vertical="center"/>
    </xf>
    <xf numFmtId="167" fontId="3" fillId="0" borderId="0" xfId="6" applyFont="1" applyFill="1" applyAlignment="1">
      <alignment horizontal="center" vertical="center"/>
    </xf>
    <xf numFmtId="167" fontId="3" fillId="0" borderId="0" xfId="6" applyFont="1" applyFill="1" applyAlignment="1">
      <alignment horizontal="center"/>
    </xf>
    <xf numFmtId="167" fontId="3" fillId="0" borderId="0" xfId="6" applyFont="1" applyFill="1" applyAlignment="1" applyProtection="1">
      <alignment horizontal="center"/>
    </xf>
    <xf numFmtId="167" fontId="3" fillId="0" borderId="16" xfId="6" applyFont="1" applyFill="1" applyBorder="1" applyAlignment="1" applyProtection="1">
      <alignment horizontal="center" vertical="center"/>
    </xf>
    <xf numFmtId="167" fontId="3" fillId="0" borderId="17" xfId="6" applyFont="1" applyFill="1" applyBorder="1" applyAlignment="1" applyProtection="1">
      <alignment horizontal="left"/>
    </xf>
    <xf numFmtId="180" fontId="3" fillId="0" borderId="0" xfId="6" applyNumberFormat="1" applyFont="1" applyFill="1" applyBorder="1" applyProtection="1"/>
    <xf numFmtId="180" fontId="3" fillId="0" borderId="17" xfId="6" applyNumberFormat="1" applyFont="1" applyFill="1" applyBorder="1" applyProtection="1"/>
    <xf numFmtId="167" fontId="3" fillId="0" borderId="17" xfId="6" applyFont="1" applyFill="1" applyBorder="1" applyAlignment="1">
      <alignment horizontal="left"/>
    </xf>
    <xf numFmtId="180" fontId="3" fillId="0" borderId="0" xfId="6" applyNumberFormat="1" applyFont="1" applyFill="1" applyBorder="1"/>
    <xf numFmtId="180" fontId="3" fillId="0" borderId="17" xfId="6" applyNumberFormat="1" applyFont="1" applyFill="1" applyBorder="1"/>
    <xf numFmtId="167" fontId="3" fillId="0" borderId="0" xfId="6" applyFont="1" applyFill="1" applyProtection="1"/>
    <xf numFmtId="180" fontId="24" fillId="0" borderId="0" xfId="6" applyNumberFormat="1" applyFont="1" applyFill="1" applyBorder="1" applyAlignment="1" applyProtection="1">
      <alignment horizontal="right"/>
    </xf>
    <xf numFmtId="180" fontId="24" fillId="0" borderId="0" xfId="6" applyNumberFormat="1" applyFont="1" applyFill="1" applyBorder="1" applyAlignment="1">
      <alignment horizontal="right"/>
    </xf>
    <xf numFmtId="180" fontId="24" fillId="0" borderId="0" xfId="6" applyNumberFormat="1" applyFont="1" applyFill="1" applyBorder="1" applyAlignment="1" applyProtection="1">
      <alignment horizontal="center"/>
    </xf>
    <xf numFmtId="180" fontId="3" fillId="0" borderId="0" xfId="6" applyNumberFormat="1" applyFont="1" applyFill="1" applyBorder="1" applyAlignment="1" applyProtection="1">
      <alignment horizontal="right"/>
    </xf>
    <xf numFmtId="167" fontId="3" fillId="0" borderId="17" xfId="6" applyFont="1" applyFill="1" applyBorder="1" applyAlignment="1">
      <alignment horizontal="left" vertical="top"/>
    </xf>
    <xf numFmtId="180" fontId="3" fillId="0" borderId="0" xfId="6" applyNumberFormat="1" applyFont="1" applyFill="1" applyBorder="1" applyAlignment="1">
      <alignment vertical="top"/>
    </xf>
    <xf numFmtId="180" fontId="3" fillId="0" borderId="0" xfId="6" applyNumberFormat="1" applyFont="1" applyFill="1" applyBorder="1" applyAlignment="1" applyProtection="1">
      <alignment horizontal="right" vertical="top"/>
    </xf>
    <xf numFmtId="180" fontId="3" fillId="0" borderId="17" xfId="6" applyNumberFormat="1" applyFont="1" applyFill="1" applyBorder="1" applyAlignment="1">
      <alignment vertical="top"/>
    </xf>
    <xf numFmtId="180" fontId="24" fillId="0" borderId="0" xfId="6" applyNumberFormat="1" applyFont="1" applyFill="1" applyBorder="1" applyAlignment="1" applyProtection="1">
      <alignment horizontal="center" vertical="top"/>
    </xf>
    <xf numFmtId="180" fontId="24" fillId="0" borderId="0" xfId="6" applyNumberFormat="1" applyFont="1" applyFill="1" applyBorder="1" applyAlignment="1" applyProtection="1">
      <alignment horizontal="right" vertical="top"/>
    </xf>
    <xf numFmtId="167" fontId="3" fillId="0" borderId="0" xfId="6" applyFont="1" applyFill="1" applyBorder="1"/>
    <xf numFmtId="167" fontId="3" fillId="0" borderId="0" xfId="6" applyFont="1" applyFill="1" applyBorder="1" applyAlignment="1">
      <alignment vertical="top"/>
    </xf>
    <xf numFmtId="167" fontId="3" fillId="0" borderId="0" xfId="6" applyFont="1" applyFill="1" applyAlignment="1">
      <alignment vertical="top"/>
    </xf>
    <xf numFmtId="180" fontId="24" fillId="0" borderId="21" xfId="6" applyNumberFormat="1" applyFont="1" applyFill="1" applyBorder="1" applyAlignment="1" applyProtection="1">
      <alignment horizontal="center" vertical="top"/>
    </xf>
    <xf numFmtId="167" fontId="3" fillId="0" borderId="17" xfId="6" applyFont="1" applyFill="1" applyBorder="1"/>
    <xf numFmtId="180" fontId="3" fillId="0" borderId="0" xfId="6" applyNumberFormat="1" applyFont="1" applyFill="1" applyBorder="1" applyAlignment="1">
      <alignment horizontal="right"/>
    </xf>
    <xf numFmtId="180" fontId="3" fillId="0" borderId="22" xfId="6" applyNumberFormat="1" applyFont="1" applyFill="1" applyBorder="1" applyAlignment="1">
      <alignment vertical="top"/>
    </xf>
    <xf numFmtId="180" fontId="24" fillId="0" borderId="0" xfId="6" applyNumberFormat="1" applyFont="1" applyFill="1" applyBorder="1" applyAlignment="1">
      <alignment horizontal="center" vertical="top"/>
    </xf>
    <xf numFmtId="180" fontId="24" fillId="0" borderId="6" xfId="6" applyNumberFormat="1" applyFont="1" applyFill="1" applyBorder="1" applyAlignment="1">
      <alignment horizontal="center" vertical="top"/>
    </xf>
    <xf numFmtId="180" fontId="3" fillId="0" borderId="21" xfId="6" applyNumberFormat="1" applyFont="1" applyFill="1" applyBorder="1" applyAlignment="1">
      <alignment vertical="top"/>
    </xf>
    <xf numFmtId="167" fontId="3" fillId="0" borderId="23" xfId="6" quotePrefix="1" applyFont="1" applyFill="1" applyBorder="1" applyAlignment="1">
      <alignment horizontal="left" vertical="top"/>
    </xf>
    <xf numFmtId="180" fontId="3" fillId="0" borderId="24" xfId="6" applyNumberFormat="1" applyFont="1" applyFill="1" applyBorder="1" applyAlignment="1">
      <alignment vertical="top"/>
    </xf>
    <xf numFmtId="180" fontId="3" fillId="0" borderId="24" xfId="6" applyNumberFormat="1" applyFont="1" applyFill="1" applyBorder="1" applyAlignment="1">
      <alignment horizontal="right"/>
    </xf>
    <xf numFmtId="180" fontId="24" fillId="0" borderId="25" xfId="6" applyNumberFormat="1" applyFont="1" applyFill="1" applyBorder="1" applyAlignment="1">
      <alignment horizontal="center" vertical="top"/>
    </xf>
    <xf numFmtId="180" fontId="3" fillId="0" borderId="25" xfId="6" applyNumberFormat="1" applyFont="1" applyFill="1" applyBorder="1" applyAlignment="1">
      <alignment vertical="top"/>
    </xf>
    <xf numFmtId="167" fontId="3" fillId="0" borderId="23" xfId="6" applyFont="1" applyFill="1" applyBorder="1" applyAlignment="1">
      <alignment horizontal="left" vertical="top"/>
    </xf>
    <xf numFmtId="167" fontId="3" fillId="0" borderId="0" xfId="6" applyFont="1" applyFill="1" applyBorder="1" applyAlignment="1">
      <alignment horizontal="left" vertical="top"/>
    </xf>
    <xf numFmtId="181" fontId="24" fillId="0" borderId="0" xfId="6" applyNumberFormat="1" applyFont="1" applyFill="1" applyAlignment="1" applyProtection="1">
      <alignment horizontal="left" vertical="center"/>
    </xf>
    <xf numFmtId="167" fontId="37" fillId="0" borderId="16" xfId="6" applyFont="1" applyFill="1" applyBorder="1" applyAlignment="1" applyProtection="1">
      <alignment horizontal="center" vertical="center"/>
    </xf>
    <xf numFmtId="168" fontId="3" fillId="0" borderId="0" xfId="6" applyNumberFormat="1" applyFont="1" applyFill="1" applyAlignment="1">
      <alignment vertical="center"/>
    </xf>
    <xf numFmtId="179" fontId="3" fillId="0" borderId="0" xfId="6" applyNumberFormat="1" applyFont="1" applyFill="1" applyBorder="1" applyProtection="1"/>
    <xf numFmtId="176" fontId="3" fillId="0" borderId="17" xfId="6" applyNumberFormat="1" applyFont="1" applyFill="1" applyBorder="1" applyProtection="1"/>
    <xf numFmtId="179" fontId="3" fillId="0" borderId="0" xfId="6" applyNumberFormat="1" applyFont="1" applyFill="1" applyBorder="1"/>
    <xf numFmtId="176" fontId="3" fillId="0" borderId="17" xfId="6" applyNumberFormat="1" applyFont="1" applyFill="1" applyBorder="1"/>
    <xf numFmtId="167" fontId="3" fillId="0" borderId="17" xfId="6" applyFont="1" applyFill="1" applyBorder="1" applyAlignment="1">
      <alignment vertical="top"/>
    </xf>
    <xf numFmtId="179" fontId="3" fillId="0" borderId="0" xfId="6" applyNumberFormat="1" applyFont="1" applyFill="1" applyBorder="1" applyAlignment="1">
      <alignment vertical="top"/>
    </xf>
    <xf numFmtId="176" fontId="3" fillId="0" borderId="17" xfId="6" applyNumberFormat="1" applyFont="1" applyFill="1" applyBorder="1" applyAlignment="1">
      <alignment vertical="top"/>
    </xf>
    <xf numFmtId="167" fontId="29" fillId="0" borderId="0" xfId="6" applyFont="1" applyFill="1"/>
    <xf numFmtId="179" fontId="24" fillId="0" borderId="0" xfId="6" applyNumberFormat="1" applyFont="1" applyFill="1" applyBorder="1" applyAlignment="1">
      <alignment horizontal="center" vertical="top"/>
    </xf>
    <xf numFmtId="176" fontId="3" fillId="0" borderId="0" xfId="6" applyNumberFormat="1" applyFont="1" applyFill="1" applyBorder="1" applyAlignment="1">
      <alignment vertical="top"/>
    </xf>
    <xf numFmtId="179" fontId="3" fillId="0" borderId="27" xfId="6" applyNumberFormat="1" applyFont="1" applyFill="1" applyBorder="1" applyAlignment="1">
      <alignment vertical="top"/>
    </xf>
    <xf numFmtId="179" fontId="24" fillId="0" borderId="9" xfId="6" applyNumberFormat="1" applyFont="1" applyFill="1" applyBorder="1" applyAlignment="1">
      <alignment horizontal="center" vertical="top"/>
    </xf>
    <xf numFmtId="179" fontId="3" fillId="0" borderId="9" xfId="6" applyNumberFormat="1" applyFont="1" applyFill="1" applyBorder="1" applyAlignment="1">
      <alignment vertical="top"/>
    </xf>
    <xf numFmtId="176" fontId="3" fillId="0" borderId="28" xfId="6" applyNumberFormat="1" applyFont="1" applyFill="1" applyBorder="1" applyAlignment="1">
      <alignment vertical="top"/>
    </xf>
    <xf numFmtId="180" fontId="24" fillId="0" borderId="0" xfId="6" applyNumberFormat="1" applyFont="1" applyFill="1" applyBorder="1" applyAlignment="1">
      <alignment horizontal="left" vertical="top" indent="3"/>
    </xf>
    <xf numFmtId="165" fontId="3" fillId="0" borderId="0" xfId="6" applyNumberFormat="1" applyFont="1" applyFill="1" applyBorder="1" applyAlignment="1">
      <alignment vertical="top"/>
    </xf>
    <xf numFmtId="182" fontId="24" fillId="0" borderId="0" xfId="6" applyNumberFormat="1" applyFont="1" applyFill="1" applyBorder="1" applyAlignment="1">
      <alignment vertical="top"/>
    </xf>
    <xf numFmtId="182" fontId="24" fillId="0" borderId="0" xfId="6" applyNumberFormat="1" applyFont="1" applyFill="1" applyBorder="1" applyAlignment="1">
      <alignment horizontal="left" vertical="top" indent="3"/>
    </xf>
    <xf numFmtId="167" fontId="24" fillId="0" borderId="0" xfId="6" applyFont="1" applyFill="1" applyAlignment="1">
      <alignment vertical="center"/>
    </xf>
    <xf numFmtId="167" fontId="3" fillId="0" borderId="29" xfId="6" applyFont="1" applyFill="1" applyBorder="1" applyAlignment="1">
      <alignment horizontal="center" vertical="center"/>
    </xf>
    <xf numFmtId="167" fontId="3" fillId="0" borderId="30" xfId="6" applyFont="1" applyFill="1" applyBorder="1" applyAlignment="1">
      <alignment vertical="top"/>
    </xf>
    <xf numFmtId="180" fontId="3" fillId="0" borderId="22" xfId="6" applyNumberFormat="1" applyFont="1" applyFill="1" applyBorder="1"/>
    <xf numFmtId="180" fontId="3" fillId="0" borderId="21" xfId="6" applyNumberFormat="1" applyFont="1" applyFill="1" applyBorder="1"/>
    <xf numFmtId="167" fontId="3" fillId="0" borderId="22" xfId="6" applyFont="1" applyFill="1" applyBorder="1" applyAlignment="1">
      <alignment horizontal="left"/>
    </xf>
    <xf numFmtId="180" fontId="3" fillId="0" borderId="26" xfId="6" applyNumberFormat="1" applyFont="1" applyFill="1" applyBorder="1"/>
    <xf numFmtId="180" fontId="3" fillId="0" borderId="24" xfId="6" applyNumberFormat="1" applyFont="1" applyFill="1" applyBorder="1"/>
    <xf numFmtId="180" fontId="3" fillId="0" borderId="25" xfId="6" applyNumberFormat="1" applyFont="1" applyFill="1" applyBorder="1"/>
    <xf numFmtId="180" fontId="3" fillId="0" borderId="23" xfId="6" applyNumberFormat="1" applyFont="1" applyFill="1" applyBorder="1" applyAlignment="1">
      <alignment vertical="top"/>
    </xf>
    <xf numFmtId="167" fontId="29" fillId="0" borderId="0" xfId="6" applyFont="1" applyFill="1" applyAlignment="1" applyProtection="1">
      <alignment horizontal="left"/>
    </xf>
    <xf numFmtId="167" fontId="29" fillId="0" borderId="0" xfId="6" applyNumberFormat="1" applyFont="1" applyFill="1" applyAlignment="1" applyProtection="1">
      <alignment horizontal="left"/>
    </xf>
    <xf numFmtId="37" fontId="25" fillId="0" borderId="0" xfId="7" applyFont="1" applyFill="1" applyAlignment="1" applyProtection="1">
      <alignment horizontal="left"/>
    </xf>
    <xf numFmtId="37" fontId="38" fillId="0" borderId="0" xfId="7" applyFont="1" applyAlignment="1">
      <alignment horizontal="left"/>
    </xf>
    <xf numFmtId="37" fontId="38" fillId="0" borderId="0" xfId="7" applyFont="1"/>
    <xf numFmtId="37" fontId="25" fillId="0" borderId="0" xfId="7" applyFont="1" applyAlignment="1">
      <alignment horizontal="left"/>
    </xf>
    <xf numFmtId="37" fontId="36" fillId="0" borderId="0" xfId="7"/>
    <xf numFmtId="37" fontId="38" fillId="0" borderId="0" xfId="7" applyFont="1" applyAlignment="1">
      <alignment horizontal="center"/>
    </xf>
    <xf numFmtId="37" fontId="36" fillId="0" borderId="0" xfId="7" applyAlignment="1">
      <alignment horizontal="center"/>
    </xf>
    <xf numFmtId="37" fontId="36" fillId="0" borderId="0" xfId="7" applyAlignment="1">
      <alignment vertical="center"/>
    </xf>
    <xf numFmtId="37" fontId="39" fillId="0" borderId="0" xfId="7" applyFont="1" applyAlignment="1" applyProtection="1">
      <alignment horizontal="center" vertical="center"/>
    </xf>
    <xf numFmtId="37" fontId="36" fillId="0" borderId="0" xfId="7" applyAlignment="1">
      <alignment horizontal="center" vertical="center"/>
    </xf>
    <xf numFmtId="37" fontId="36" fillId="0" borderId="0" xfId="7" applyAlignment="1" applyProtection="1">
      <alignment horizontal="center"/>
    </xf>
    <xf numFmtId="167" fontId="36" fillId="0" borderId="0" xfId="7" applyNumberFormat="1" applyAlignment="1">
      <alignment vertical="center"/>
    </xf>
    <xf numFmtId="37" fontId="3" fillId="0" borderId="16" xfId="7" applyFont="1" applyBorder="1" applyAlignment="1" applyProtection="1">
      <alignment horizontal="center" vertical="center"/>
    </xf>
    <xf numFmtId="37" fontId="3" fillId="0" borderId="31" xfId="7" applyFont="1" applyBorder="1" applyAlignment="1" applyProtection="1">
      <alignment horizontal="center" vertical="center"/>
    </xf>
    <xf numFmtId="167" fontId="36" fillId="0" borderId="0" xfId="7" applyNumberFormat="1" applyBorder="1" applyAlignment="1">
      <alignment vertical="center"/>
    </xf>
    <xf numFmtId="37" fontId="3" fillId="0" borderId="19" xfId="7" applyFont="1" applyBorder="1" applyAlignment="1" applyProtection="1">
      <alignment horizontal="left"/>
    </xf>
    <xf numFmtId="176" fontId="3" fillId="0" borderId="30" xfId="7" applyNumberFormat="1" applyFont="1" applyBorder="1" applyProtection="1"/>
    <xf numFmtId="176" fontId="3" fillId="0" borderId="20" xfId="7" applyNumberFormat="1" applyFont="1" applyBorder="1" applyProtection="1"/>
    <xf numFmtId="176" fontId="3" fillId="0" borderId="20" xfId="7" applyNumberFormat="1" applyFont="1" applyBorder="1" applyAlignment="1" applyProtection="1">
      <alignment horizontal="right"/>
    </xf>
    <xf numFmtId="178" fontId="3" fillId="0" borderId="19" xfId="7" applyNumberFormat="1" applyFont="1" applyBorder="1" applyProtection="1"/>
    <xf numFmtId="167" fontId="36" fillId="0" borderId="0" xfId="7" applyNumberFormat="1" applyBorder="1"/>
    <xf numFmtId="167" fontId="36" fillId="0" borderId="0" xfId="7" applyNumberFormat="1"/>
    <xf numFmtId="37" fontId="3" fillId="0" borderId="17" xfId="7" applyFont="1" applyBorder="1" applyAlignment="1" applyProtection="1">
      <alignment horizontal="left"/>
    </xf>
    <xf numFmtId="176" fontId="3" fillId="0" borderId="22" xfId="7" applyNumberFormat="1" applyFont="1" applyBorder="1" applyProtection="1"/>
    <xf numFmtId="176" fontId="3" fillId="0" borderId="0" xfId="7" applyNumberFormat="1" applyFont="1" applyBorder="1" applyProtection="1"/>
    <xf numFmtId="176" fontId="3" fillId="0" borderId="0" xfId="7" applyNumberFormat="1" applyFont="1" applyBorder="1" applyAlignment="1" applyProtection="1">
      <alignment horizontal="right"/>
    </xf>
    <xf numFmtId="178" fontId="3" fillId="0" borderId="17" xfId="7" applyNumberFormat="1" applyFont="1" applyBorder="1" applyProtection="1"/>
    <xf numFmtId="37" fontId="3" fillId="0" borderId="17" xfId="7" applyFont="1" applyBorder="1" applyAlignment="1">
      <alignment horizontal="left"/>
    </xf>
    <xf numFmtId="176" fontId="3" fillId="0" borderId="22" xfId="7" applyNumberFormat="1" applyFont="1" applyBorder="1"/>
    <xf numFmtId="176" fontId="3" fillId="0" borderId="0" xfId="7" applyNumberFormat="1" applyFont="1" applyBorder="1"/>
    <xf numFmtId="176" fontId="3" fillId="0" borderId="0" xfId="7" applyNumberFormat="1" applyFont="1" applyBorder="1" applyAlignment="1" applyProtection="1"/>
    <xf numFmtId="178" fontId="3" fillId="0" borderId="17" xfId="7" applyNumberFormat="1" applyFont="1" applyBorder="1"/>
    <xf numFmtId="167" fontId="36" fillId="0" borderId="0" xfId="7" applyNumberFormat="1" applyProtection="1"/>
    <xf numFmtId="176" fontId="24" fillId="0" borderId="0" xfId="7" applyNumberFormat="1" applyFont="1" applyBorder="1" applyAlignment="1" applyProtection="1">
      <alignment horizontal="right"/>
    </xf>
    <xf numFmtId="176" fontId="24" fillId="0" borderId="0" xfId="7" applyNumberFormat="1" applyFont="1" applyBorder="1"/>
    <xf numFmtId="176" fontId="24" fillId="0" borderId="0" xfId="7" applyNumberFormat="1" applyFont="1" applyBorder="1" applyAlignment="1" applyProtection="1">
      <alignment horizontal="right" indent="1"/>
    </xf>
    <xf numFmtId="176" fontId="3" fillId="0" borderId="22" xfId="7" applyNumberFormat="1" applyFont="1" applyBorder="1" applyAlignment="1" applyProtection="1">
      <alignment horizontal="right"/>
    </xf>
    <xf numFmtId="37" fontId="36" fillId="0" borderId="0" xfId="7" applyBorder="1"/>
    <xf numFmtId="167" fontId="36" fillId="0" borderId="21" xfId="7" applyNumberFormat="1" applyBorder="1"/>
    <xf numFmtId="167" fontId="36" fillId="0" borderId="17" xfId="7" applyNumberFormat="1" applyBorder="1"/>
    <xf numFmtId="176" fontId="3" fillId="0" borderId="22" xfId="7" applyNumberFormat="1" applyFont="1" applyBorder="1" applyAlignment="1" applyProtection="1"/>
    <xf numFmtId="176" fontId="3" fillId="0" borderId="0" xfId="7" applyNumberFormat="1" applyFont="1" applyBorder="1" applyAlignment="1"/>
    <xf numFmtId="3" fontId="3" fillId="0" borderId="0" xfId="7" applyNumberFormat="1" applyFont="1" applyBorder="1" applyAlignment="1" applyProtection="1">
      <alignment horizontal="right"/>
    </xf>
    <xf numFmtId="37" fontId="40" fillId="0" borderId="17" xfId="7" applyFont="1" applyBorder="1" applyAlignment="1">
      <alignment horizontal="left"/>
    </xf>
    <xf numFmtId="3" fontId="42" fillId="0" borderId="0" xfId="7" applyNumberFormat="1" applyFont="1" applyBorder="1" applyAlignment="1" applyProtection="1">
      <alignment horizontal="right" indent="1"/>
    </xf>
    <xf numFmtId="3" fontId="42" fillId="0" borderId="21" xfId="7" applyNumberFormat="1" applyFont="1" applyBorder="1" applyAlignment="1" applyProtection="1">
      <alignment horizontal="right" indent="1"/>
    </xf>
    <xf numFmtId="3" fontId="42" fillId="0" borderId="17" xfId="7" applyNumberFormat="1" applyFont="1" applyBorder="1" applyAlignment="1" applyProtection="1">
      <alignment horizontal="right" indent="1"/>
    </xf>
    <xf numFmtId="37" fontId="40" fillId="0" borderId="23" xfId="7" applyFont="1" applyBorder="1" applyAlignment="1">
      <alignment horizontal="left"/>
    </xf>
    <xf numFmtId="3" fontId="42" fillId="0" borderId="24" xfId="7" applyNumberFormat="1" applyFont="1" applyBorder="1" applyAlignment="1" applyProtection="1">
      <alignment horizontal="right" indent="1"/>
    </xf>
    <xf numFmtId="3" fontId="42" fillId="0" borderId="25" xfId="7" applyNumberFormat="1" applyFont="1" applyBorder="1" applyAlignment="1" applyProtection="1">
      <alignment horizontal="right" indent="1"/>
    </xf>
    <xf numFmtId="3" fontId="42" fillId="0" borderId="23" xfId="7" applyNumberFormat="1" applyFont="1" applyBorder="1" applyAlignment="1" applyProtection="1">
      <alignment horizontal="right" indent="1"/>
    </xf>
    <xf numFmtId="37" fontId="3" fillId="0" borderId="0" xfId="7" applyFont="1" applyBorder="1" applyAlignment="1">
      <alignment vertical="center"/>
    </xf>
    <xf numFmtId="37" fontId="43" fillId="0" borderId="0" xfId="7" applyFont="1" applyAlignment="1" applyProtection="1">
      <alignment horizontal="center" vertical="center"/>
    </xf>
    <xf numFmtId="37" fontId="3" fillId="0" borderId="0" xfId="7" applyFont="1" applyAlignment="1">
      <alignment horizontal="center"/>
    </xf>
    <xf numFmtId="37" fontId="3" fillId="0" borderId="0" xfId="7" applyFont="1" applyAlignment="1">
      <alignment horizontal="center" vertical="center"/>
    </xf>
    <xf numFmtId="37" fontId="3" fillId="0" borderId="0" xfId="7" applyFont="1" applyAlignment="1" applyProtection="1">
      <alignment horizontal="center" vertical="center"/>
    </xf>
    <xf numFmtId="37" fontId="3" fillId="0" borderId="0" xfId="7" applyFont="1" applyAlignment="1">
      <alignment vertical="center"/>
    </xf>
    <xf numFmtId="37" fontId="3" fillId="0" borderId="32" xfId="7" applyFont="1" applyBorder="1" applyAlignment="1" applyProtection="1">
      <alignment horizontal="center" vertical="center"/>
    </xf>
    <xf numFmtId="167" fontId="3" fillId="0" borderId="16" xfId="7" applyNumberFormat="1" applyFont="1" applyBorder="1" applyAlignment="1" applyProtection="1">
      <alignment horizontal="center" vertical="center"/>
    </xf>
    <xf numFmtId="176" fontId="3" fillId="0" borderId="18" xfId="7" applyNumberFormat="1" applyFont="1" applyBorder="1" applyProtection="1"/>
    <xf numFmtId="176" fontId="3" fillId="0" borderId="19" xfId="7" applyNumberFormat="1" applyFont="1" applyBorder="1" applyProtection="1"/>
    <xf numFmtId="37" fontId="3" fillId="0" borderId="20" xfId="7" applyFont="1" applyBorder="1"/>
    <xf numFmtId="37" fontId="36" fillId="0" borderId="20" xfId="7" applyBorder="1"/>
    <xf numFmtId="176" fontId="3" fillId="0" borderId="21" xfId="7" applyNumberFormat="1" applyFont="1" applyBorder="1" applyProtection="1"/>
    <xf numFmtId="176" fontId="3" fillId="0" borderId="17" xfId="7" applyNumberFormat="1" applyFont="1" applyBorder="1" applyProtection="1"/>
    <xf numFmtId="37" fontId="3" fillId="0" borderId="0" xfId="7" applyFont="1" applyBorder="1"/>
    <xf numFmtId="176" fontId="3" fillId="0" borderId="21" xfId="7" applyNumberFormat="1" applyFont="1" applyBorder="1" applyAlignment="1" applyProtection="1"/>
    <xf numFmtId="176" fontId="3" fillId="0" borderId="17" xfId="7" applyNumberFormat="1" applyFont="1" applyBorder="1" applyAlignment="1" applyProtection="1"/>
    <xf numFmtId="37" fontId="3" fillId="0" borderId="23" xfId="7" applyFont="1" applyBorder="1" applyAlignment="1" applyProtection="1">
      <alignment horizontal="left"/>
    </xf>
    <xf numFmtId="176" fontId="3" fillId="0" borderId="26" xfId="7" applyNumberFormat="1" applyFont="1" applyBorder="1" applyAlignment="1" applyProtection="1">
      <alignment horizontal="right"/>
    </xf>
    <xf numFmtId="176" fontId="3" fillId="0" borderId="24" xfId="7" applyNumberFormat="1" applyFont="1" applyBorder="1" applyAlignment="1" applyProtection="1">
      <alignment horizontal="right"/>
    </xf>
    <xf numFmtId="176" fontId="3" fillId="0" borderId="24" xfId="7" applyNumberFormat="1" applyFont="1" applyBorder="1" applyAlignment="1" applyProtection="1"/>
    <xf numFmtId="176" fontId="3" fillId="0" borderId="25" xfId="7" applyNumberFormat="1" applyFont="1" applyBorder="1" applyAlignment="1" applyProtection="1"/>
    <xf numFmtId="37" fontId="3" fillId="0" borderId="24" xfId="7" applyFont="1" applyBorder="1"/>
    <xf numFmtId="37" fontId="36" fillId="0" borderId="24" xfId="7" applyBorder="1"/>
    <xf numFmtId="37" fontId="3" fillId="0" borderId="0" xfId="7" applyFont="1"/>
    <xf numFmtId="37" fontId="3" fillId="0" borderId="16" xfId="7" applyFont="1" applyBorder="1" applyAlignment="1" applyProtection="1">
      <alignment horizontal="left"/>
    </xf>
    <xf numFmtId="176" fontId="3" fillId="0" borderId="31" xfId="7" applyNumberFormat="1" applyFont="1" applyBorder="1" applyAlignment="1" applyProtection="1">
      <alignment horizontal="right"/>
    </xf>
    <xf numFmtId="176" fontId="3" fillId="0" borderId="29" xfId="7" applyNumberFormat="1" applyFont="1" applyBorder="1" applyAlignment="1" applyProtection="1">
      <alignment horizontal="right"/>
    </xf>
    <xf numFmtId="176" fontId="3" fillId="0" borderId="29" xfId="7" applyNumberFormat="1" applyFont="1" applyBorder="1" applyAlignment="1" applyProtection="1"/>
    <xf numFmtId="176" fontId="3" fillId="0" borderId="16" xfId="7" applyNumberFormat="1" applyFont="1" applyBorder="1" applyAlignment="1" applyProtection="1"/>
    <xf numFmtId="37" fontId="3" fillId="0" borderId="29" xfId="7" applyFont="1" applyBorder="1"/>
    <xf numFmtId="37" fontId="36" fillId="0" borderId="29" xfId="7" applyBorder="1"/>
    <xf numFmtId="176" fontId="24" fillId="0" borderId="0" xfId="7" applyNumberFormat="1" applyFont="1" applyBorder="1" applyAlignment="1" applyProtection="1">
      <alignment horizontal="left" indent="3"/>
    </xf>
    <xf numFmtId="176" fontId="42" fillId="0" borderId="0" xfId="7" applyNumberFormat="1" applyFont="1" applyBorder="1" applyAlignment="1" applyProtection="1">
      <alignment horizontal="left" indent="3"/>
    </xf>
    <xf numFmtId="176" fontId="42" fillId="0" borderId="17" xfId="7" applyNumberFormat="1" applyFont="1" applyBorder="1" applyAlignment="1" applyProtection="1">
      <alignment horizontal="left" indent="3"/>
    </xf>
    <xf numFmtId="37" fontId="44" fillId="0" borderId="0" xfId="7" applyFont="1" applyBorder="1"/>
    <xf numFmtId="176" fontId="42" fillId="0" borderId="17" xfId="7" applyNumberFormat="1" applyFont="1" applyBorder="1" applyAlignment="1" applyProtection="1">
      <alignment horizontal="right" indent="1"/>
    </xf>
    <xf numFmtId="37" fontId="29" fillId="0" borderId="0" xfId="7" applyFont="1"/>
    <xf numFmtId="37" fontId="13" fillId="0" borderId="0" xfId="7" applyFont="1"/>
    <xf numFmtId="176" fontId="42" fillId="0" borderId="24" xfId="7" applyNumberFormat="1" applyFont="1" applyBorder="1" applyAlignment="1" applyProtection="1">
      <alignment horizontal="left" indent="3"/>
    </xf>
    <xf numFmtId="176" fontId="42" fillId="0" borderId="23" xfId="7" applyNumberFormat="1" applyFont="1" applyBorder="1" applyAlignment="1" applyProtection="1">
      <alignment horizontal="left" indent="3"/>
    </xf>
    <xf numFmtId="37" fontId="44" fillId="0" borderId="24" xfId="7" applyFont="1" applyBorder="1"/>
    <xf numFmtId="176" fontId="42" fillId="0" borderId="23" xfId="7" applyNumberFormat="1" applyFont="1" applyBorder="1" applyAlignment="1" applyProtection="1">
      <alignment horizontal="right" indent="1"/>
    </xf>
    <xf numFmtId="37" fontId="45" fillId="0" borderId="0" xfId="7" applyFont="1" applyBorder="1" applyAlignment="1">
      <alignment horizontal="center" vertical="center"/>
    </xf>
    <xf numFmtId="167" fontId="24" fillId="0" borderId="0" xfId="7" applyNumberFormat="1" applyFont="1" applyBorder="1" applyAlignment="1">
      <alignment horizontal="center" vertical="center"/>
    </xf>
    <xf numFmtId="37" fontId="24" fillId="0" borderId="0" xfId="7" applyFont="1" applyBorder="1" applyAlignment="1">
      <alignment horizontal="center" vertical="center"/>
    </xf>
    <xf numFmtId="37" fontId="29" fillId="0" borderId="0" xfId="7" applyFont="1" applyBorder="1"/>
    <xf numFmtId="167" fontId="3" fillId="0" borderId="29" xfId="7" applyNumberFormat="1" applyFont="1" applyBorder="1" applyAlignment="1">
      <alignment horizontal="center" vertical="center"/>
    </xf>
    <xf numFmtId="37" fontId="3" fillId="0" borderId="16" xfId="7" applyFont="1" applyBorder="1" applyAlignment="1">
      <alignment horizontal="center" vertical="center"/>
    </xf>
    <xf numFmtId="167" fontId="3" fillId="0" borderId="0" xfId="7" applyNumberFormat="1" applyFont="1" applyBorder="1"/>
    <xf numFmtId="37" fontId="3" fillId="0" borderId="17" xfId="7" applyFont="1" applyBorder="1"/>
    <xf numFmtId="167" fontId="3" fillId="0" borderId="17" xfId="7" applyNumberFormat="1" applyFont="1" applyBorder="1" applyAlignment="1">
      <alignment horizontal="left"/>
    </xf>
    <xf numFmtId="37" fontId="29" fillId="0" borderId="0" xfId="7" applyFont="1" applyAlignment="1" applyProtection="1">
      <alignment horizontal="left"/>
    </xf>
    <xf numFmtId="167" fontId="3" fillId="0" borderId="16" xfId="7" applyNumberFormat="1" applyFont="1" applyBorder="1" applyAlignment="1">
      <alignment horizontal="left"/>
    </xf>
    <xf numFmtId="167" fontId="3" fillId="0" borderId="29" xfId="7" applyNumberFormat="1" applyFont="1" applyBorder="1"/>
    <xf numFmtId="37" fontId="3" fillId="0" borderId="16" xfId="7" applyFont="1" applyBorder="1"/>
    <xf numFmtId="37" fontId="29" fillId="0" borderId="29" xfId="7" applyFont="1" applyBorder="1"/>
    <xf numFmtId="37" fontId="13" fillId="0" borderId="29" xfId="7" applyFont="1" applyBorder="1"/>
    <xf numFmtId="167" fontId="3" fillId="0" borderId="17" xfId="7" applyNumberFormat="1" applyFont="1" applyFill="1" applyBorder="1" applyAlignment="1">
      <alignment horizontal="left"/>
    </xf>
    <xf numFmtId="167" fontId="3" fillId="0" borderId="0" xfId="7" applyNumberFormat="1" applyFont="1" applyFill="1" applyBorder="1"/>
    <xf numFmtId="37" fontId="3" fillId="0" borderId="0" xfId="7" applyFont="1" applyFill="1"/>
    <xf numFmtId="37" fontId="36" fillId="0" borderId="0" xfId="7" applyFill="1"/>
    <xf numFmtId="167" fontId="3" fillId="0" borderId="22" xfId="7" applyNumberFormat="1" applyFont="1" applyFill="1" applyBorder="1"/>
    <xf numFmtId="167" fontId="3" fillId="0" borderId="21" xfId="7" applyNumberFormat="1" applyFont="1" applyFill="1" applyBorder="1"/>
    <xf numFmtId="167" fontId="3" fillId="0" borderId="24" xfId="7" applyNumberFormat="1" applyFont="1" applyBorder="1"/>
    <xf numFmtId="167" fontId="3" fillId="0" borderId="25" xfId="7" applyNumberFormat="1" applyFont="1" applyBorder="1"/>
    <xf numFmtId="37" fontId="3" fillId="0" borderId="25" xfId="7" applyNumberFormat="1" applyFont="1" applyFill="1" applyBorder="1"/>
    <xf numFmtId="37" fontId="46" fillId="0" borderId="0" xfId="7" applyFont="1"/>
    <xf numFmtId="0" fontId="23" fillId="0" borderId="0" xfId="4" applyFont="1"/>
    <xf numFmtId="0" fontId="24" fillId="0" borderId="15" xfId="4" applyFont="1" applyFill="1" applyBorder="1" applyAlignment="1">
      <alignment horizontal="left" vertical="center" wrapText="1"/>
    </xf>
    <xf numFmtId="0" fontId="24" fillId="0" borderId="15" xfId="4" applyFont="1" applyFill="1" applyBorder="1" applyAlignment="1">
      <alignment horizontal="center" wrapText="1"/>
    </xf>
    <xf numFmtId="173" fontId="3" fillId="0" borderId="15" xfId="4" applyNumberFormat="1" applyFont="1" applyFill="1" applyBorder="1" applyAlignment="1">
      <alignment horizontal="right" vertical="center"/>
    </xf>
    <xf numFmtId="173" fontId="23" fillId="0" borderId="0" xfId="4" applyNumberFormat="1" applyFont="1"/>
    <xf numFmtId="0" fontId="3" fillId="0" borderId="15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 wrapText="1"/>
    </xf>
    <xf numFmtId="173" fontId="3" fillId="0" borderId="2" xfId="4" applyNumberFormat="1" applyFont="1" applyFill="1" applyBorder="1" applyAlignment="1">
      <alignment horizontal="right" vertical="center" indent="2"/>
    </xf>
    <xf numFmtId="173" fontId="3" fillId="0" borderId="2" xfId="4" applyNumberFormat="1" applyFont="1" applyFill="1" applyBorder="1" applyAlignment="1">
      <alignment horizontal="right" vertical="center"/>
    </xf>
    <xf numFmtId="173" fontId="23" fillId="0" borderId="0" xfId="4" applyNumberFormat="1" applyFont="1" applyBorder="1"/>
    <xf numFmtId="0" fontId="23" fillId="0" borderId="0" xfId="4" applyFont="1" applyBorder="1"/>
    <xf numFmtId="0" fontId="3" fillId="0" borderId="7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/>
    </xf>
    <xf numFmtId="173" fontId="3" fillId="0" borderId="0" xfId="4" applyNumberFormat="1" applyFont="1" applyFill="1" applyBorder="1" applyAlignment="1">
      <alignment horizontal="right" vertical="center" indent="2"/>
    </xf>
    <xf numFmtId="173" fontId="3" fillId="0" borderId="0" xfId="4" applyNumberFormat="1" applyFont="1" applyFill="1" applyBorder="1" applyAlignment="1">
      <alignment horizontal="right" vertical="center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left" vertical="center" wrapText="1"/>
    </xf>
    <xf numFmtId="173" fontId="3" fillId="0" borderId="9" xfId="4" applyNumberFormat="1" applyFont="1" applyFill="1" applyBorder="1" applyAlignment="1">
      <alignment horizontal="right" vertical="center" indent="2"/>
    </xf>
    <xf numFmtId="173" fontId="3" fillId="0" borderId="9" xfId="4" applyNumberFormat="1" applyFont="1" applyFill="1" applyBorder="1" applyAlignment="1">
      <alignment horizontal="right" vertical="center"/>
    </xf>
    <xf numFmtId="0" fontId="25" fillId="0" borderId="0" xfId="8" applyFont="1"/>
    <xf numFmtId="0" fontId="47" fillId="0" borderId="0" xfId="8" applyFont="1" applyAlignment="1">
      <alignment horizontal="center"/>
    </xf>
    <xf numFmtId="0" fontId="47" fillId="0" borderId="0" xfId="8" applyFont="1"/>
    <xf numFmtId="0" fontId="26" fillId="0" borderId="0" xfId="8" applyFont="1"/>
    <xf numFmtId="0" fontId="26" fillId="0" borderId="0" xfId="8" applyFont="1" applyAlignment="1">
      <alignment horizontal="center"/>
    </xf>
    <xf numFmtId="0" fontId="3" fillId="0" borderId="0" xfId="8" applyFont="1" applyAlignment="1"/>
    <xf numFmtId="0" fontId="3" fillId="0" borderId="0" xfId="8" applyFont="1"/>
    <xf numFmtId="0" fontId="3" fillId="0" borderId="0" xfId="8" applyFont="1" applyAlignment="1">
      <alignment horizontal="center"/>
    </xf>
    <xf numFmtId="0" fontId="3" fillId="0" borderId="15" xfId="8" applyFont="1" applyBorder="1" applyAlignment="1">
      <alignment horizontal="center" vertical="center" wrapText="1"/>
    </xf>
    <xf numFmtId="0" fontId="24" fillId="0" borderId="15" xfId="8" applyFont="1" applyBorder="1" applyAlignment="1">
      <alignment horizontal="center" vertical="center" wrapText="1"/>
    </xf>
    <xf numFmtId="0" fontId="3" fillId="0" borderId="0" xfId="8" applyFont="1" applyAlignment="1">
      <alignment horizontal="center" vertical="center" wrapText="1"/>
    </xf>
    <xf numFmtId="0" fontId="3" fillId="0" borderId="11" xfId="8" applyFont="1" applyBorder="1" applyAlignment="1">
      <alignment horizontal="center"/>
    </xf>
    <xf numFmtId="3" fontId="24" fillId="0" borderId="0" xfId="8" applyNumberFormat="1" applyFont="1" applyAlignment="1">
      <alignment horizontal="center"/>
    </xf>
    <xf numFmtId="0" fontId="3" fillId="0" borderId="12" xfId="8" applyFont="1" applyBorder="1" applyAlignment="1">
      <alignment horizontal="center"/>
    </xf>
    <xf numFmtId="0" fontId="3" fillId="0" borderId="13" xfId="8" applyFont="1" applyBorder="1" applyAlignment="1">
      <alignment horizontal="center"/>
    </xf>
    <xf numFmtId="3" fontId="24" fillId="0" borderId="9" xfId="8" applyNumberFormat="1" applyFont="1" applyBorder="1" applyAlignment="1">
      <alignment horizontal="center"/>
    </xf>
    <xf numFmtId="0" fontId="3" fillId="0" borderId="0" xfId="8" applyFont="1" applyBorder="1"/>
    <xf numFmtId="3" fontId="3" fillId="0" borderId="5" xfId="8" applyNumberFormat="1" applyFont="1" applyFill="1" applyBorder="1" applyAlignment="1">
      <alignment horizontal="center"/>
    </xf>
    <xf numFmtId="3" fontId="3" fillId="0" borderId="12" xfId="8" applyNumberFormat="1" applyFont="1" applyFill="1" applyBorder="1" applyAlignment="1">
      <alignment horizontal="center"/>
    </xf>
    <xf numFmtId="3" fontId="3" fillId="0" borderId="13" xfId="8" applyNumberFormat="1" applyFont="1" applyFill="1" applyBorder="1" applyAlignment="1">
      <alignment horizontal="center"/>
    </xf>
    <xf numFmtId="3" fontId="3" fillId="0" borderId="10" xfId="8" applyNumberFormat="1" applyFont="1" applyFill="1" applyBorder="1" applyAlignment="1">
      <alignment horizontal="center"/>
    </xf>
    <xf numFmtId="3" fontId="3" fillId="0" borderId="12" xfId="8" applyNumberFormat="1" applyFont="1" applyFill="1" applyBorder="1" applyAlignment="1">
      <alignment horizontal="center" vertical="center"/>
    </xf>
    <xf numFmtId="3" fontId="3" fillId="0" borderId="0" xfId="8" applyNumberFormat="1" applyFont="1" applyFill="1" applyAlignment="1">
      <alignment horizontal="center"/>
    </xf>
    <xf numFmtId="3" fontId="3" fillId="0" borderId="13" xfId="8" applyNumberFormat="1" applyFont="1" applyFill="1" applyBorder="1" applyAlignment="1">
      <alignment horizontal="center" vertical="center"/>
    </xf>
    <xf numFmtId="3" fontId="3" fillId="0" borderId="11" xfId="8" applyNumberFormat="1" applyFont="1" applyFill="1" applyBorder="1" applyAlignment="1">
      <alignment horizontal="center" vertical="center"/>
    </xf>
    <xf numFmtId="0" fontId="3" fillId="0" borderId="12" xfId="8" applyFont="1" applyBorder="1"/>
    <xf numFmtId="3" fontId="3" fillId="0" borderId="11" xfId="8" applyNumberFormat="1" applyFont="1" applyBorder="1" applyAlignment="1">
      <alignment horizontal="center"/>
    </xf>
    <xf numFmtId="3" fontId="3" fillId="0" borderId="12" xfId="8" applyNumberFormat="1" applyFont="1" applyBorder="1" applyAlignment="1">
      <alignment horizontal="center"/>
    </xf>
    <xf numFmtId="0" fontId="3" fillId="0" borderId="0" xfId="8" applyFont="1" applyFill="1"/>
    <xf numFmtId="3" fontId="24" fillId="0" borderId="0" xfId="8" applyNumberFormat="1" applyFont="1" applyBorder="1" applyAlignment="1">
      <alignment horizontal="center"/>
    </xf>
    <xf numFmtId="3" fontId="3" fillId="0" borderId="13" xfId="8" applyNumberFormat="1" applyFont="1" applyBorder="1" applyAlignment="1">
      <alignment horizontal="center"/>
    </xf>
    <xf numFmtId="0" fontId="3" fillId="0" borderId="1" xfId="8" applyFont="1" applyBorder="1"/>
    <xf numFmtId="183" fontId="24" fillId="3" borderId="7" xfId="8" applyNumberFormat="1" applyFont="1" applyFill="1" applyBorder="1" applyAlignment="1">
      <alignment horizontal="right"/>
    </xf>
    <xf numFmtId="183" fontId="24" fillId="3" borderId="0" xfId="8" applyNumberFormat="1" applyFont="1" applyFill="1" applyBorder="1" applyAlignment="1">
      <alignment horizontal="right"/>
    </xf>
    <xf numFmtId="183" fontId="24" fillId="3" borderId="6" xfId="8" applyNumberFormat="1" applyFont="1" applyFill="1" applyBorder="1" applyAlignment="1">
      <alignment horizontal="right"/>
    </xf>
    <xf numFmtId="0" fontId="3" fillId="0" borderId="7" xfId="8" applyFont="1" applyBorder="1" applyAlignment="1">
      <alignment horizontal="center" vertical="center"/>
    </xf>
    <xf numFmtId="0" fontId="3" fillId="0" borderId="8" xfId="8" applyFont="1" applyBorder="1"/>
    <xf numFmtId="183" fontId="24" fillId="3" borderId="8" xfId="8" applyNumberFormat="1" applyFont="1" applyFill="1" applyBorder="1" applyAlignment="1">
      <alignment horizontal="right"/>
    </xf>
    <xf numFmtId="183" fontId="24" fillId="3" borderId="9" xfId="8" applyNumberFormat="1" applyFont="1" applyFill="1" applyBorder="1" applyAlignment="1">
      <alignment horizontal="right"/>
    </xf>
    <xf numFmtId="183" fontId="24" fillId="3" borderId="10" xfId="8" applyNumberFormat="1" applyFont="1" applyFill="1" applyBorder="1" applyAlignment="1">
      <alignment horizontal="right"/>
    </xf>
    <xf numFmtId="0" fontId="3" fillId="0" borderId="12" xfId="8" applyFont="1" applyFill="1" applyBorder="1"/>
    <xf numFmtId="3" fontId="24" fillId="0" borderId="0" xfId="8" applyNumberFormat="1" applyFont="1" applyFill="1" applyAlignment="1">
      <alignment horizontal="center"/>
    </xf>
    <xf numFmtId="3" fontId="3" fillId="0" borderId="12" xfId="8" quotePrefix="1" applyNumberFormat="1" applyFont="1" applyBorder="1" applyAlignment="1">
      <alignment horizontal="center"/>
    </xf>
    <xf numFmtId="0" fontId="3" fillId="0" borderId="13" xfId="8" applyFont="1" applyBorder="1"/>
    <xf numFmtId="0" fontId="3" fillId="0" borderId="0" xfId="8" applyFont="1" applyFill="1" applyAlignment="1">
      <alignment horizontal="center"/>
    </xf>
    <xf numFmtId="0" fontId="3" fillId="0" borderId="5" xfId="8" applyFont="1" applyBorder="1" applyAlignment="1"/>
    <xf numFmtId="3" fontId="24" fillId="0" borderId="0" xfId="8" applyNumberFormat="1" applyFont="1" applyAlignment="1">
      <alignment horizontal="right" indent="1"/>
    </xf>
    <xf numFmtId="169" fontId="3" fillId="0" borderId="11" xfId="8" applyNumberFormat="1" applyFont="1" applyFill="1" applyBorder="1" applyAlignment="1">
      <alignment horizontal="right" vertical="center" indent="1"/>
    </xf>
    <xf numFmtId="169" fontId="3" fillId="0" borderId="0" xfId="8" applyNumberFormat="1" applyFont="1"/>
    <xf numFmtId="0" fontId="3" fillId="0" borderId="6" xfId="8" applyFont="1" applyBorder="1" applyAlignment="1"/>
    <xf numFmtId="169" fontId="3" fillId="0" borderId="12" xfId="8" applyNumberFormat="1" applyFont="1" applyFill="1" applyBorder="1" applyAlignment="1">
      <alignment horizontal="right" vertical="center" indent="1"/>
    </xf>
    <xf numFmtId="0" fontId="3" fillId="0" borderId="10" xfId="8" applyFont="1" applyBorder="1" applyAlignment="1"/>
    <xf numFmtId="3" fontId="24" fillId="0" borderId="9" xfId="8" applyNumberFormat="1" applyFont="1" applyBorder="1" applyAlignment="1">
      <alignment horizontal="right" indent="1"/>
    </xf>
    <xf numFmtId="169" fontId="3" fillId="0" borderId="13" xfId="8" applyNumberFormat="1" applyFont="1" applyFill="1" applyBorder="1" applyAlignment="1">
      <alignment horizontal="right" vertical="center" indent="1"/>
    </xf>
    <xf numFmtId="169" fontId="3" fillId="0" borderId="5" xfId="8" applyNumberFormat="1" applyFont="1" applyFill="1" applyBorder="1" applyAlignment="1">
      <alignment horizontal="right" indent="1"/>
    </xf>
    <xf numFmtId="169" fontId="3" fillId="0" borderId="12" xfId="8" applyNumberFormat="1" applyFont="1" applyFill="1" applyBorder="1" applyAlignment="1">
      <alignment horizontal="right" indent="1"/>
    </xf>
    <xf numFmtId="169" fontId="3" fillId="0" borderId="0" xfId="8" applyNumberFormat="1" applyFont="1" applyAlignment="1">
      <alignment horizontal="right" indent="1"/>
    </xf>
    <xf numFmtId="169" fontId="3" fillId="0" borderId="13" xfId="8" applyNumberFormat="1" applyFont="1" applyFill="1" applyBorder="1" applyAlignment="1">
      <alignment horizontal="right" indent="1"/>
    </xf>
    <xf numFmtId="169" fontId="3" fillId="0" borderId="10" xfId="8" applyNumberFormat="1" applyFont="1" applyFill="1" applyBorder="1" applyAlignment="1">
      <alignment horizontal="right" indent="1"/>
    </xf>
    <xf numFmtId="169" fontId="3" fillId="0" borderId="0" xfId="8" applyNumberFormat="1" applyFont="1" applyFill="1" applyAlignment="1">
      <alignment horizontal="right" indent="1"/>
    </xf>
    <xf numFmtId="0" fontId="3" fillId="0" borderId="11" xfId="8" applyFont="1" applyBorder="1" applyAlignment="1"/>
    <xf numFmtId="0" fontId="3" fillId="0" borderId="12" xfId="8" applyFont="1" applyBorder="1" applyAlignment="1"/>
    <xf numFmtId="0" fontId="3" fillId="0" borderId="13" xfId="8" applyFont="1" applyBorder="1" applyAlignment="1"/>
    <xf numFmtId="0" fontId="3" fillId="0" borderId="11" xfId="8" applyFont="1" applyBorder="1"/>
    <xf numFmtId="169" fontId="24" fillId="0" borderId="2" xfId="8" applyNumberFormat="1" applyFont="1" applyBorder="1" applyAlignment="1">
      <alignment horizontal="right" indent="1"/>
    </xf>
    <xf numFmtId="169" fontId="24" fillId="0" borderId="11" xfId="8" applyNumberFormat="1" applyFont="1" applyBorder="1" applyAlignment="1">
      <alignment horizontal="right" indent="1"/>
    </xf>
    <xf numFmtId="169" fontId="24" fillId="0" borderId="0" xfId="8" applyNumberFormat="1" applyFont="1" applyBorder="1" applyAlignment="1">
      <alignment horizontal="right" indent="1"/>
    </xf>
    <xf numFmtId="169" fontId="24" fillId="0" borderId="12" xfId="8" applyNumberFormat="1" applyFont="1" applyBorder="1" applyAlignment="1">
      <alignment horizontal="right" indent="1"/>
    </xf>
    <xf numFmtId="169" fontId="24" fillId="0" borderId="9" xfId="8" applyNumberFormat="1" applyFont="1" applyBorder="1" applyAlignment="1">
      <alignment horizontal="right" indent="1"/>
    </xf>
    <xf numFmtId="169" fontId="24" fillId="0" borderId="13" xfId="8" applyNumberFormat="1" applyFont="1" applyBorder="1" applyAlignment="1">
      <alignment horizontal="right" indent="1"/>
    </xf>
    <xf numFmtId="0" fontId="24" fillId="0" borderId="1" xfId="8" applyFont="1" applyBorder="1"/>
    <xf numFmtId="169" fontId="24" fillId="0" borderId="5" xfId="8" applyNumberFormat="1" applyFont="1" applyBorder="1" applyAlignment="1">
      <alignment horizontal="right" indent="1"/>
    </xf>
    <xf numFmtId="169" fontId="3" fillId="0" borderId="5" xfId="8" applyNumberFormat="1" applyFont="1" applyBorder="1" applyAlignment="1">
      <alignment horizontal="right" indent="1"/>
    </xf>
    <xf numFmtId="0" fontId="3" fillId="0" borderId="7" xfId="8" applyFont="1" applyBorder="1"/>
    <xf numFmtId="169" fontId="24" fillId="0" borderId="6" xfId="8" applyNumberFormat="1" applyFont="1" applyBorder="1" applyAlignment="1">
      <alignment horizontal="right" indent="1"/>
    </xf>
    <xf numFmtId="169" fontId="3" fillId="0" borderId="6" xfId="8" applyNumberFormat="1" applyFont="1" applyBorder="1" applyAlignment="1">
      <alignment horizontal="right" indent="1"/>
    </xf>
    <xf numFmtId="0" fontId="24" fillId="0" borderId="8" xfId="8" applyFont="1" applyBorder="1"/>
    <xf numFmtId="169" fontId="24" fillId="0" borderId="10" xfId="8" applyNumberFormat="1" applyFont="1" applyBorder="1" applyAlignment="1">
      <alignment horizontal="right" indent="1"/>
    </xf>
    <xf numFmtId="0" fontId="10" fillId="0" borderId="0" xfId="8" applyFont="1"/>
    <xf numFmtId="0" fontId="7" fillId="0" borderId="0" xfId="8"/>
    <xf numFmtId="0" fontId="14" fillId="2" borderId="15" xfId="8" applyFont="1" applyFill="1" applyBorder="1" applyAlignment="1">
      <alignment horizontal="center" vertical="center" wrapText="1"/>
    </xf>
    <xf numFmtId="0" fontId="48" fillId="2" borderId="15" xfId="8" applyFont="1" applyFill="1" applyBorder="1" applyAlignment="1">
      <alignment horizontal="center" vertical="center" wrapText="1"/>
    </xf>
    <xf numFmtId="0" fontId="14" fillId="2" borderId="12" xfId="9" applyFont="1" applyFill="1" applyBorder="1"/>
    <xf numFmtId="3" fontId="48" fillId="2" borderId="0" xfId="9" applyNumberFormat="1" applyFont="1" applyFill="1" applyAlignment="1">
      <alignment horizontal="center"/>
    </xf>
    <xf numFmtId="3" fontId="14" fillId="2" borderId="12" xfId="9" applyNumberFormat="1" applyFont="1" applyFill="1" applyBorder="1" applyAlignment="1">
      <alignment horizontal="center"/>
    </xf>
    <xf numFmtId="3" fontId="14" fillId="2" borderId="0" xfId="9" applyNumberFormat="1" applyFont="1" applyFill="1" applyAlignment="1">
      <alignment horizontal="center"/>
    </xf>
    <xf numFmtId="3" fontId="14" fillId="2" borderId="11" xfId="9" applyNumberFormat="1" applyFont="1" applyFill="1" applyBorder="1" applyAlignment="1">
      <alignment horizontal="center"/>
    </xf>
    <xf numFmtId="3" fontId="14" fillId="2" borderId="6" xfId="9" applyNumberFormat="1" applyFont="1" applyFill="1" applyBorder="1" applyAlignment="1">
      <alignment horizontal="center"/>
    </xf>
    <xf numFmtId="0" fontId="14" fillId="2" borderId="13" xfId="9" applyFont="1" applyFill="1" applyBorder="1"/>
    <xf numFmtId="3" fontId="48" fillId="2" borderId="9" xfId="9" applyNumberFormat="1" applyFont="1" applyFill="1" applyBorder="1" applyAlignment="1">
      <alignment horizontal="center"/>
    </xf>
    <xf numFmtId="3" fontId="14" fillId="2" borderId="13" xfId="9" applyNumberFormat="1" applyFont="1" applyFill="1" applyBorder="1" applyAlignment="1">
      <alignment horizontal="center"/>
    </xf>
    <xf numFmtId="3" fontId="14" fillId="2" borderId="9" xfId="9" applyNumberFormat="1" applyFont="1" applyFill="1" applyBorder="1" applyAlignment="1">
      <alignment horizontal="center"/>
    </xf>
    <xf numFmtId="3" fontId="14" fillId="2" borderId="12" xfId="9" quotePrefix="1" applyNumberFormat="1" applyFont="1" applyFill="1" applyBorder="1" applyAlignment="1">
      <alignment horizontal="center"/>
    </xf>
    <xf numFmtId="3" fontId="48" fillId="2" borderId="13" xfId="9" applyNumberFormat="1" applyFont="1" applyFill="1" applyBorder="1" applyAlignment="1">
      <alignment horizontal="center"/>
    </xf>
    <xf numFmtId="0" fontId="14" fillId="2" borderId="15" xfId="9" applyFont="1" applyFill="1" applyBorder="1"/>
    <xf numFmtId="166" fontId="7" fillId="2" borderId="15" xfId="8" applyNumberFormat="1" applyFill="1" applyBorder="1" applyAlignment="1">
      <alignment horizontal="center"/>
    </xf>
    <xf numFmtId="0" fontId="14" fillId="2" borderId="2" xfId="9" applyFont="1" applyFill="1" applyBorder="1"/>
    <xf numFmtId="0" fontId="7" fillId="2" borderId="0" xfId="8" applyFill="1"/>
    <xf numFmtId="0" fontId="50" fillId="0" borderId="0" xfId="10" applyFont="1" applyFill="1"/>
    <xf numFmtId="0" fontId="51" fillId="0" borderId="0" xfId="10" applyFont="1" applyFill="1"/>
    <xf numFmtId="0" fontId="14" fillId="0" borderId="0" xfId="10" applyFont="1" applyFill="1"/>
    <xf numFmtId="0" fontId="14" fillId="0" borderId="15" xfId="10" applyFont="1" applyFill="1" applyBorder="1" applyAlignment="1">
      <alignment horizontal="center" vertical="top" wrapText="1"/>
    </xf>
    <xf numFmtId="0" fontId="14" fillId="0" borderId="15" xfId="10" applyFont="1" applyFill="1" applyBorder="1" applyAlignment="1">
      <alignment horizontal="center" vertical="top" wrapText="1" readingOrder="1"/>
    </xf>
    <xf numFmtId="0" fontId="51" fillId="0" borderId="0" xfId="10" applyFont="1" applyFill="1" applyBorder="1" applyAlignment="1">
      <alignment horizontal="center"/>
    </xf>
    <xf numFmtId="0" fontId="51" fillId="0" borderId="15" xfId="10" applyFont="1" applyFill="1" applyBorder="1" applyAlignment="1">
      <alignment horizontal="center" vertical="center" wrapText="1"/>
    </xf>
    <xf numFmtId="1" fontId="14" fillId="0" borderId="15" xfId="10" applyNumberFormat="1" applyFont="1" applyFill="1" applyBorder="1" applyAlignment="1">
      <alignment horizontal="center" vertical="center" wrapText="1"/>
    </xf>
    <xf numFmtId="1" fontId="14" fillId="0" borderId="15" xfId="10" applyNumberFormat="1" applyFont="1" applyFill="1" applyBorder="1" applyAlignment="1">
      <alignment horizontal="center" vertical="center"/>
    </xf>
    <xf numFmtId="0" fontId="14" fillId="0" borderId="15" xfId="10" applyFont="1" applyFill="1" applyBorder="1" applyAlignment="1">
      <alignment horizontal="center" vertical="center"/>
    </xf>
    <xf numFmtId="169" fontId="14" fillId="0" borderId="15" xfId="10" applyNumberFormat="1" applyFont="1" applyFill="1" applyBorder="1" applyAlignment="1">
      <alignment horizontal="center" vertical="center"/>
    </xf>
    <xf numFmtId="3" fontId="53" fillId="0" borderId="0" xfId="10" applyNumberFormat="1" applyFont="1" applyFill="1" applyBorder="1"/>
    <xf numFmtId="0" fontId="51" fillId="0" borderId="15" xfId="10" applyFont="1" applyFill="1" applyBorder="1" applyAlignment="1">
      <alignment horizontal="center" vertical="center"/>
    </xf>
    <xf numFmtId="3" fontId="14" fillId="0" borderId="15" xfId="10" applyNumberFormat="1" applyFont="1" applyFill="1" applyBorder="1" applyAlignment="1">
      <alignment horizontal="center" vertical="center"/>
    </xf>
    <xf numFmtId="169" fontId="14" fillId="0" borderId="15" xfId="10" applyNumberFormat="1" applyFont="1" applyFill="1" applyBorder="1" applyAlignment="1">
      <alignment horizontal="center" vertical="center" wrapText="1"/>
    </xf>
    <xf numFmtId="1" fontId="48" fillId="0" borderId="15" xfId="10" applyNumberFormat="1" applyFont="1" applyFill="1" applyBorder="1" applyAlignment="1">
      <alignment horizontal="center" vertical="top"/>
    </xf>
    <xf numFmtId="1" fontId="48" fillId="0" borderId="15" xfId="10" applyNumberFormat="1" applyFont="1" applyFill="1" applyBorder="1" applyAlignment="1">
      <alignment horizontal="center"/>
    </xf>
    <xf numFmtId="169" fontId="48" fillId="0" borderId="15" xfId="10" applyNumberFormat="1" applyFont="1" applyFill="1" applyBorder="1" applyAlignment="1">
      <alignment horizontal="center"/>
    </xf>
    <xf numFmtId="169" fontId="14" fillId="0" borderId="15" xfId="10" applyNumberFormat="1" applyFont="1" applyFill="1" applyBorder="1" applyAlignment="1">
      <alignment horizontal="center" vertical="top" wrapText="1"/>
    </xf>
    <xf numFmtId="1" fontId="51" fillId="0" borderId="0" xfId="10" applyNumberFormat="1" applyFont="1" applyFill="1" applyBorder="1"/>
    <xf numFmtId="3" fontId="51" fillId="0" borderId="0" xfId="10" applyNumberFormat="1" applyFont="1" applyFill="1" applyBorder="1"/>
    <xf numFmtId="3" fontId="53" fillId="0" borderId="0" xfId="10" applyNumberFormat="1" applyFont="1" applyFill="1" applyBorder="1" applyAlignment="1">
      <alignment horizontal="right"/>
    </xf>
    <xf numFmtId="0" fontId="54" fillId="0" borderId="0" xfId="10" applyFont="1" applyFill="1"/>
    <xf numFmtId="0" fontId="55" fillId="0" borderId="0" xfId="10" applyFont="1" applyFill="1"/>
    <xf numFmtId="0" fontId="1" fillId="0" borderId="0" xfId="10" applyFill="1"/>
    <xf numFmtId="37" fontId="56" fillId="0" borderId="1" xfId="10" applyNumberFormat="1" applyFont="1" applyFill="1" applyBorder="1"/>
    <xf numFmtId="0" fontId="57" fillId="0" borderId="1" xfId="10" applyFont="1" applyFill="1" applyBorder="1"/>
    <xf numFmtId="0" fontId="58" fillId="0" borderId="2" xfId="10" applyFont="1" applyFill="1" applyBorder="1" applyAlignment="1">
      <alignment horizontal="center"/>
    </xf>
    <xf numFmtId="0" fontId="57" fillId="0" borderId="5" xfId="10" applyFont="1" applyFill="1" applyBorder="1"/>
    <xf numFmtId="0" fontId="56" fillId="0" borderId="5" xfId="10" applyFont="1" applyFill="1" applyBorder="1"/>
    <xf numFmtId="37" fontId="56" fillId="0" borderId="7" xfId="10" applyNumberFormat="1" applyFont="1" applyFill="1" applyBorder="1" applyAlignment="1" applyProtection="1">
      <alignment horizontal="center"/>
    </xf>
    <xf numFmtId="0" fontId="56" fillId="0" borderId="7" xfId="10" applyFont="1" applyFill="1" applyBorder="1" applyAlignment="1">
      <alignment horizontal="left" indent="1"/>
    </xf>
    <xf numFmtId="0" fontId="56" fillId="0" borderId="0" xfId="10" applyFont="1" applyFill="1" applyBorder="1" applyAlignment="1">
      <alignment horizontal="left" indent="1"/>
    </xf>
    <xf numFmtId="0" fontId="56" fillId="0" borderId="0" xfId="10" applyFont="1" applyFill="1" applyBorder="1" applyAlignment="1">
      <alignment horizontal="center"/>
    </xf>
    <xf numFmtId="0" fontId="56" fillId="0" borderId="6" xfId="10" applyFont="1" applyFill="1" applyBorder="1" applyAlignment="1">
      <alignment horizontal="center"/>
    </xf>
    <xf numFmtId="37" fontId="56" fillId="0" borderId="8" xfId="10" applyNumberFormat="1" applyFont="1" applyFill="1" applyBorder="1" applyAlignment="1" applyProtection="1">
      <alignment horizontal="right"/>
    </xf>
    <xf numFmtId="0" fontId="56" fillId="0" borderId="8" xfId="10" applyFont="1" applyFill="1" applyBorder="1" applyAlignment="1">
      <alignment horizontal="left" indent="1"/>
    </xf>
    <xf numFmtId="0" fontId="56" fillId="0" borderId="9" xfId="10" applyFont="1" applyFill="1" applyBorder="1" applyAlignment="1">
      <alignment horizontal="left" indent="1"/>
    </xf>
    <xf numFmtId="0" fontId="56" fillId="0" borderId="9" xfId="10" applyFont="1" applyFill="1" applyBorder="1" applyAlignment="1">
      <alignment horizontal="center"/>
    </xf>
    <xf numFmtId="0" fontId="56" fillId="0" borderId="10" xfId="10" applyFont="1" applyFill="1" applyBorder="1" applyAlignment="1">
      <alignment horizontal="center"/>
    </xf>
    <xf numFmtId="37" fontId="56" fillId="0" borderId="11" xfId="10" quotePrefix="1" applyNumberFormat="1" applyFont="1" applyFill="1" applyBorder="1" applyAlignment="1" applyProtection="1">
      <alignment horizontal="left"/>
    </xf>
    <xf numFmtId="169" fontId="56" fillId="0" borderId="7" xfId="10" applyNumberFormat="1" applyFont="1" applyFill="1" applyBorder="1" applyAlignment="1">
      <alignment horizontal="left" indent="1"/>
    </xf>
    <xf numFmtId="169" fontId="56" fillId="0" borderId="0" xfId="10" applyNumberFormat="1" applyFont="1" applyFill="1" applyBorder="1" applyAlignment="1">
      <alignment horizontal="left" indent="1"/>
    </xf>
    <xf numFmtId="3" fontId="56" fillId="0" borderId="2" xfId="10" applyNumberFormat="1" applyFont="1" applyFill="1" applyBorder="1" applyAlignment="1">
      <alignment horizontal="center"/>
    </xf>
    <xf numFmtId="3" fontId="56" fillId="0" borderId="2" xfId="10" quotePrefix="1" applyNumberFormat="1" applyFont="1" applyFill="1" applyBorder="1" applyAlignment="1">
      <alignment horizontal="center"/>
    </xf>
    <xf numFmtId="169" fontId="56" fillId="0" borderId="6" xfId="10" applyNumberFormat="1" applyFont="1" applyFill="1" applyBorder="1" applyAlignment="1">
      <alignment horizontal="left" indent="1"/>
    </xf>
    <xf numFmtId="37" fontId="56" fillId="0" borderId="12" xfId="10" quotePrefix="1" applyNumberFormat="1" applyFont="1" applyFill="1" applyBorder="1" applyAlignment="1" applyProtection="1">
      <alignment horizontal="left"/>
    </xf>
    <xf numFmtId="3" fontId="56" fillId="0" borderId="0" xfId="10" applyNumberFormat="1" applyFont="1" applyFill="1" applyBorder="1" applyAlignment="1">
      <alignment horizontal="center"/>
    </xf>
    <xf numFmtId="3" fontId="56" fillId="0" borderId="0" xfId="10" quotePrefix="1" applyNumberFormat="1" applyFont="1" applyFill="1" applyBorder="1" applyAlignment="1">
      <alignment horizontal="center"/>
    </xf>
    <xf numFmtId="37" fontId="56" fillId="0" borderId="13" xfId="10" quotePrefix="1" applyNumberFormat="1" applyFont="1" applyFill="1" applyBorder="1" applyAlignment="1" applyProtection="1">
      <alignment horizontal="left"/>
    </xf>
    <xf numFmtId="169" fontId="56" fillId="0" borderId="8" xfId="10" applyNumberFormat="1" applyFont="1" applyFill="1" applyBorder="1" applyAlignment="1">
      <alignment horizontal="left" indent="1"/>
    </xf>
    <xf numFmtId="169" fontId="56" fillId="0" borderId="9" xfId="10" applyNumberFormat="1" applyFont="1" applyFill="1" applyBorder="1" applyAlignment="1">
      <alignment horizontal="left" indent="1"/>
    </xf>
    <xf numFmtId="3" fontId="56" fillId="0" borderId="9" xfId="10" quotePrefix="1" applyNumberFormat="1" applyFont="1" applyFill="1" applyBorder="1" applyAlignment="1">
      <alignment horizontal="center"/>
    </xf>
    <xf numFmtId="169" fontId="56" fillId="0" borderId="10" xfId="10" applyNumberFormat="1" applyFont="1" applyFill="1" applyBorder="1" applyAlignment="1">
      <alignment horizontal="left" indent="1"/>
    </xf>
    <xf numFmtId="37" fontId="56" fillId="0" borderId="0" xfId="10" quotePrefix="1" applyNumberFormat="1" applyFont="1" applyFill="1" applyBorder="1" applyAlignment="1" applyProtection="1">
      <alignment horizontal="left"/>
    </xf>
    <xf numFmtId="0" fontId="58" fillId="0" borderId="1" xfId="10" applyFont="1" applyFill="1" applyBorder="1"/>
    <xf numFmtId="0" fontId="56" fillId="0" borderId="2" xfId="10" applyFont="1" applyFill="1" applyBorder="1"/>
    <xf numFmtId="0" fontId="57" fillId="0" borderId="0" xfId="10" applyFont="1" applyFill="1"/>
    <xf numFmtId="0" fontId="57" fillId="0" borderId="0" xfId="10" applyFont="1" applyFill="1" applyAlignment="1">
      <alignment horizontal="left" indent="1"/>
    </xf>
    <xf numFmtId="0" fontId="56" fillId="0" borderId="0" xfId="10" applyFont="1" applyFill="1" applyAlignment="1">
      <alignment horizontal="left" indent="1"/>
    </xf>
    <xf numFmtId="0" fontId="58" fillId="0" borderId="0" xfId="10" applyFont="1" applyFill="1"/>
    <xf numFmtId="0" fontId="56" fillId="0" borderId="0" xfId="10" applyFont="1" applyFill="1"/>
    <xf numFmtId="37" fontId="56" fillId="0" borderId="7" xfId="10" quotePrefix="1" applyNumberFormat="1" applyFont="1" applyFill="1" applyBorder="1" applyAlignment="1" applyProtection="1">
      <alignment horizontal="left"/>
    </xf>
    <xf numFmtId="37" fontId="59" fillId="0" borderId="0" xfId="10" applyNumberFormat="1" applyFont="1" applyFill="1" applyBorder="1" applyAlignment="1" applyProtection="1">
      <alignment horizontal="left" vertical="top"/>
    </xf>
    <xf numFmtId="0" fontId="56" fillId="0" borderId="7" xfId="10" applyFont="1" applyFill="1" applyBorder="1" applyAlignment="1">
      <alignment horizontal="center"/>
    </xf>
    <xf numFmtId="0" fontId="56" fillId="0" borderId="8" xfId="10" applyFont="1" applyFill="1" applyBorder="1" applyAlignment="1">
      <alignment horizontal="center"/>
    </xf>
    <xf numFmtId="169" fontId="56" fillId="0" borderId="1" xfId="10" applyNumberFormat="1" applyFont="1" applyFill="1" applyBorder="1" applyAlignment="1">
      <alignment horizontal="left" indent="1"/>
    </xf>
    <xf numFmtId="169" fontId="56" fillId="0" borderId="2" xfId="10" applyNumberFormat="1" applyFont="1" applyFill="1" applyBorder="1" applyAlignment="1">
      <alignment horizontal="left" indent="1"/>
    </xf>
    <xf numFmtId="169" fontId="56" fillId="0" borderId="5" xfId="10" applyNumberFormat="1" applyFont="1" applyFill="1" applyBorder="1" applyAlignment="1">
      <alignment horizontal="right" indent="1"/>
    </xf>
    <xf numFmtId="169" fontId="56" fillId="0" borderId="6" xfId="10" applyNumberFormat="1" applyFont="1" applyFill="1" applyBorder="1" applyAlignment="1">
      <alignment horizontal="right" indent="1"/>
    </xf>
    <xf numFmtId="169" fontId="56" fillId="0" borderId="10" xfId="10" applyNumberFormat="1" applyFont="1" applyFill="1" applyBorder="1" applyAlignment="1">
      <alignment horizontal="right" indent="1"/>
    </xf>
    <xf numFmtId="169" fontId="56" fillId="0" borderId="5" xfId="10" applyNumberFormat="1" applyFont="1" applyFill="1" applyBorder="1" applyAlignment="1">
      <alignment horizontal="left" indent="1"/>
    </xf>
    <xf numFmtId="37" fontId="56" fillId="0" borderId="13" xfId="10" applyNumberFormat="1" applyFont="1" applyFill="1" applyBorder="1" applyAlignment="1" applyProtection="1">
      <alignment horizontal="right"/>
    </xf>
    <xf numFmtId="169" fontId="56" fillId="0" borderId="0" xfId="10" applyNumberFormat="1" applyFont="1" applyFill="1" applyBorder="1" applyAlignment="1" applyProtection="1">
      <alignment horizontal="left" indent="1"/>
    </xf>
    <xf numFmtId="169" fontId="56" fillId="0" borderId="7" xfId="10" applyNumberFormat="1" applyFont="1" applyFill="1" applyBorder="1" applyAlignment="1" applyProtection="1">
      <alignment horizontal="left" indent="1"/>
    </xf>
    <xf numFmtId="37" fontId="56" fillId="0" borderId="2" xfId="10" applyNumberFormat="1" applyFont="1" applyFill="1" applyBorder="1" applyAlignment="1" applyProtection="1">
      <alignment horizontal="left"/>
    </xf>
    <xf numFmtId="169" fontId="56" fillId="0" borderId="1" xfId="10" applyNumberFormat="1" applyFont="1" applyFill="1" applyBorder="1" applyAlignment="1" applyProtection="1">
      <alignment horizontal="left" indent="1"/>
    </xf>
    <xf numFmtId="0" fontId="55" fillId="0" borderId="0" xfId="10" applyFont="1"/>
    <xf numFmtId="0" fontId="60" fillId="0" borderId="0" xfId="10" applyFont="1"/>
    <xf numFmtId="0" fontId="1" fillId="0" borderId="0" xfId="10"/>
    <xf numFmtId="38" fontId="48" fillId="0" borderId="34" xfId="10" applyNumberFormat="1" applyFont="1" applyBorder="1" applyAlignment="1" applyProtection="1">
      <alignment horizontal="center" vertical="center" wrapText="1"/>
    </xf>
    <xf numFmtId="38" fontId="62" fillId="0" borderId="0" xfId="10" applyNumberFormat="1" applyFont="1" applyBorder="1" applyAlignment="1" applyProtection="1">
      <alignment horizontal="center" vertical="center" wrapText="1"/>
    </xf>
    <xf numFmtId="0" fontId="1" fillId="0" borderId="0" xfId="10" applyBorder="1"/>
    <xf numFmtId="0" fontId="14" fillId="0" borderId="10" xfId="10" applyFont="1" applyBorder="1" applyAlignment="1">
      <alignment horizontal="center" vertical="center" wrapText="1"/>
    </xf>
    <xf numFmtId="183" fontId="14" fillId="0" borderId="15" xfId="10" applyNumberFormat="1" applyFont="1" applyBorder="1" applyAlignment="1" applyProtection="1">
      <alignment horizontal="center" vertical="center" wrapText="1"/>
    </xf>
    <xf numFmtId="183" fontId="14" fillId="0" borderId="40" xfId="10" applyNumberFormat="1" applyFont="1" applyBorder="1" applyAlignment="1" applyProtection="1">
      <alignment horizontal="center" vertical="center" wrapText="1"/>
    </xf>
    <xf numFmtId="0" fontId="5" fillId="0" borderId="0" xfId="10" applyFont="1" applyBorder="1" applyAlignment="1">
      <alignment horizontal="center" vertical="center" wrapText="1"/>
    </xf>
    <xf numFmtId="183" fontId="14" fillId="0" borderId="42" xfId="10" applyNumberFormat="1" applyFont="1" applyBorder="1" applyAlignment="1" applyProtection="1">
      <alignment horizontal="center" vertical="center" wrapText="1"/>
    </xf>
    <xf numFmtId="184" fontId="14" fillId="0" borderId="12" xfId="10" applyNumberFormat="1" applyFont="1" applyBorder="1"/>
    <xf numFmtId="185" fontId="14" fillId="0" borderId="7" xfId="10" applyNumberFormat="1" applyFont="1" applyBorder="1" applyProtection="1"/>
    <xf numFmtId="185" fontId="14" fillId="0" borderId="43" xfId="10" applyNumberFormat="1" applyFont="1" applyBorder="1" applyProtection="1"/>
    <xf numFmtId="185" fontId="14" fillId="0" borderId="44" xfId="10" applyNumberFormat="1" applyFont="1" applyBorder="1" applyProtection="1"/>
    <xf numFmtId="184" fontId="5" fillId="0" borderId="0" xfId="10" applyNumberFormat="1" applyFont="1" applyBorder="1"/>
    <xf numFmtId="183" fontId="14" fillId="0" borderId="45" xfId="10" applyNumberFormat="1" applyFont="1" applyBorder="1" applyAlignment="1" applyProtection="1">
      <alignment horizontal="center" vertical="center" wrapText="1"/>
    </xf>
    <xf numFmtId="184" fontId="14" fillId="0" borderId="13" xfId="10" applyNumberFormat="1" applyFont="1" applyBorder="1"/>
    <xf numFmtId="185" fontId="14" fillId="0" borderId="8" xfId="10" applyNumberFormat="1" applyFont="1" applyBorder="1" applyProtection="1"/>
    <xf numFmtId="185" fontId="14" fillId="0" borderId="46" xfId="10" applyNumberFormat="1" applyFont="1" applyBorder="1" applyProtection="1"/>
    <xf numFmtId="185" fontId="14" fillId="0" borderId="47" xfId="10" applyNumberFormat="1" applyFont="1" applyFill="1" applyBorder="1" applyProtection="1"/>
    <xf numFmtId="185" fontId="14" fillId="0" borderId="41" xfId="10" applyNumberFormat="1" applyFont="1" applyBorder="1" applyProtection="1"/>
    <xf numFmtId="0" fontId="60" fillId="0" borderId="42" xfId="10" applyFont="1" applyBorder="1"/>
    <xf numFmtId="0" fontId="60" fillId="0" borderId="12" xfId="10" applyFont="1" applyBorder="1"/>
    <xf numFmtId="0" fontId="60" fillId="0" borderId="7" xfId="10" applyFont="1" applyBorder="1"/>
    <xf numFmtId="0" fontId="60" fillId="0" borderId="0" xfId="10" applyFont="1" applyBorder="1"/>
    <xf numFmtId="0" fontId="60" fillId="0" borderId="48" xfId="10" applyFont="1" applyBorder="1"/>
    <xf numFmtId="0" fontId="60" fillId="0" borderId="49" xfId="10" applyFont="1" applyBorder="1"/>
    <xf numFmtId="0" fontId="60" fillId="0" borderId="42" xfId="10" applyFont="1" applyBorder="1" applyAlignment="1">
      <alignment horizontal="center"/>
    </xf>
    <xf numFmtId="183" fontId="14" fillId="0" borderId="50" xfId="10" applyNumberFormat="1" applyFont="1" applyFill="1" applyBorder="1" applyAlignment="1" applyProtection="1">
      <alignment horizontal="center" vertical="center" wrapText="1"/>
    </xf>
    <xf numFmtId="183" fontId="14" fillId="0" borderId="51" xfId="10" applyNumberFormat="1" applyFont="1" applyFill="1" applyBorder="1" applyAlignment="1" applyProtection="1">
      <alignment horizontal="center" vertical="center" wrapText="1"/>
    </xf>
    <xf numFmtId="0" fontId="60" fillId="0" borderId="52" xfId="10" applyFont="1" applyBorder="1"/>
    <xf numFmtId="0" fontId="60" fillId="0" borderId="53" xfId="10" applyFont="1" applyBorder="1"/>
    <xf numFmtId="0" fontId="60" fillId="0" borderId="54" xfId="10" applyFont="1" applyBorder="1"/>
    <xf numFmtId="183" fontId="14" fillId="0" borderId="55" xfId="10" applyNumberFormat="1" applyFont="1" applyFill="1" applyBorder="1" applyAlignment="1" applyProtection="1">
      <alignment horizontal="center" vertical="center" wrapText="1"/>
    </xf>
    <xf numFmtId="183" fontId="5" fillId="0" borderId="0" xfId="10" applyNumberFormat="1" applyFont="1" applyFill="1" applyBorder="1" applyAlignment="1" applyProtection="1">
      <alignment horizontal="center" vertical="center" wrapText="1"/>
    </xf>
    <xf numFmtId="183" fontId="14" fillId="0" borderId="0" xfId="10" applyNumberFormat="1" applyFont="1" applyFill="1" applyBorder="1" applyAlignment="1" applyProtection="1">
      <alignment horizontal="center" vertical="center" wrapText="1"/>
    </xf>
    <xf numFmtId="0" fontId="59" fillId="0" borderId="0" xfId="10" applyFont="1" applyBorder="1" applyAlignment="1">
      <alignment horizontal="left"/>
    </xf>
    <xf numFmtId="0" fontId="63" fillId="0" borderId="0" xfId="10" applyFont="1" applyBorder="1" applyAlignment="1">
      <alignment horizontal="right"/>
    </xf>
    <xf numFmtId="0" fontId="54" fillId="0" borderId="0" xfId="10" applyFont="1" applyAlignment="1">
      <alignment horizontal="left"/>
    </xf>
    <xf numFmtId="0" fontId="54" fillId="0" borderId="0" xfId="10" applyFont="1" applyBorder="1"/>
    <xf numFmtId="0" fontId="14" fillId="0" borderId="0" xfId="10" applyFont="1" applyBorder="1"/>
    <xf numFmtId="0" fontId="54" fillId="0" borderId="0" xfId="10" applyFont="1" applyAlignment="1">
      <alignment horizontal="right"/>
    </xf>
    <xf numFmtId="0" fontId="5" fillId="0" borderId="0" xfId="10" applyFont="1" applyBorder="1"/>
    <xf numFmtId="0" fontId="54" fillId="0" borderId="0" xfId="10" applyFont="1" applyBorder="1" applyAlignment="1">
      <alignment horizontal="left"/>
    </xf>
    <xf numFmtId="0" fontId="60" fillId="0" borderId="0" xfId="10" applyFont="1" applyAlignment="1">
      <alignment horizontal="left"/>
    </xf>
    <xf numFmtId="0" fontId="14" fillId="0" borderId="0" xfId="10" applyFont="1" applyBorder="1" applyAlignment="1">
      <alignment horizontal="left"/>
    </xf>
    <xf numFmtId="0" fontId="5" fillId="0" borderId="0" xfId="10" applyFont="1" applyBorder="1" applyAlignment="1">
      <alignment horizontal="left"/>
    </xf>
    <xf numFmtId="0" fontId="55" fillId="0" borderId="9" xfId="10" applyFont="1" applyFill="1" applyBorder="1"/>
    <xf numFmtId="37" fontId="56" fillId="0" borderId="11" xfId="10" applyNumberFormat="1" applyFont="1" applyFill="1" applyBorder="1"/>
    <xf numFmtId="0" fontId="1" fillId="0" borderId="1" xfId="10" applyFill="1" applyBorder="1"/>
    <xf numFmtId="0" fontId="56" fillId="0" borderId="1" xfId="10" applyFont="1" applyFill="1" applyBorder="1"/>
    <xf numFmtId="0" fontId="56" fillId="0" borderId="7" xfId="10" applyNumberFormat="1" applyFont="1" applyFill="1" applyBorder="1" applyAlignment="1">
      <alignment horizontal="center"/>
    </xf>
    <xf numFmtId="0" fontId="56" fillId="0" borderId="0" xfId="10" applyNumberFormat="1" applyFont="1" applyFill="1" applyBorder="1" applyAlignment="1">
      <alignment horizontal="center"/>
    </xf>
    <xf numFmtId="0" fontId="56" fillId="0" borderId="6" xfId="10" applyNumberFormat="1" applyFont="1" applyFill="1" applyBorder="1" applyAlignment="1">
      <alignment horizontal="center"/>
    </xf>
    <xf numFmtId="0" fontId="56" fillId="0" borderId="8" xfId="10" applyNumberFormat="1" applyFont="1" applyFill="1" applyBorder="1" applyAlignment="1">
      <alignment horizontal="center"/>
    </xf>
    <xf numFmtId="0" fontId="56" fillId="0" borderId="9" xfId="10" applyNumberFormat="1" applyFont="1" applyFill="1" applyBorder="1" applyAlignment="1">
      <alignment horizontal="center"/>
    </xf>
    <xf numFmtId="0" fontId="56" fillId="0" borderId="10" xfId="10" applyNumberFormat="1" applyFont="1" applyFill="1" applyBorder="1" applyAlignment="1">
      <alignment horizontal="center"/>
    </xf>
    <xf numFmtId="37" fontId="56" fillId="0" borderId="7" xfId="10" applyNumberFormat="1" applyFont="1" applyFill="1" applyBorder="1"/>
    <xf numFmtId="0" fontId="56" fillId="0" borderId="7" xfId="10" applyFont="1" applyFill="1" applyBorder="1"/>
    <xf numFmtId="0" fontId="56" fillId="0" borderId="0" xfId="10" applyFont="1" applyFill="1" applyBorder="1"/>
    <xf numFmtId="0" fontId="56" fillId="0" borderId="6" xfId="10" applyFont="1" applyFill="1" applyBorder="1"/>
    <xf numFmtId="37" fontId="56" fillId="0" borderId="1" xfId="10" quotePrefix="1" applyNumberFormat="1" applyFont="1" applyFill="1" applyBorder="1" applyAlignment="1" applyProtection="1">
      <alignment horizontal="left"/>
    </xf>
    <xf numFmtId="169" fontId="56" fillId="0" borderId="1" xfId="10" applyNumberFormat="1" applyFont="1" applyFill="1" applyBorder="1" applyAlignment="1">
      <alignment horizontal="center"/>
    </xf>
    <xf numFmtId="169" fontId="56" fillId="0" borderId="2" xfId="10" applyNumberFormat="1" applyFont="1" applyFill="1" applyBorder="1" applyAlignment="1">
      <alignment horizontal="right" indent="1"/>
    </xf>
    <xf numFmtId="2" fontId="56" fillId="0" borderId="5" xfId="10" applyNumberFormat="1" applyFont="1" applyFill="1" applyBorder="1" applyAlignment="1">
      <alignment horizontal="right" indent="1"/>
    </xf>
    <xf numFmtId="169" fontId="56" fillId="0" borderId="1" xfId="10" applyNumberFormat="1" applyFont="1" applyFill="1" applyBorder="1" applyAlignment="1">
      <alignment horizontal="right" indent="1"/>
    </xf>
    <xf numFmtId="169" fontId="56" fillId="0" borderId="7" xfId="10" applyNumberFormat="1" applyFont="1" applyFill="1" applyBorder="1" applyAlignment="1">
      <alignment horizontal="center"/>
    </xf>
    <xf numFmtId="169" fontId="56" fillId="0" borderId="0" xfId="10" applyNumberFormat="1" applyFont="1" applyFill="1" applyBorder="1" applyAlignment="1">
      <alignment horizontal="right" indent="1"/>
    </xf>
    <xf numFmtId="2" fontId="56" fillId="0" borderId="6" xfId="10" applyNumberFormat="1" applyFont="1" applyFill="1" applyBorder="1" applyAlignment="1">
      <alignment horizontal="right" indent="1"/>
    </xf>
    <xf numFmtId="169" fontId="56" fillId="0" borderId="7" xfId="10" applyNumberFormat="1" applyFont="1" applyFill="1" applyBorder="1" applyAlignment="1">
      <alignment horizontal="right" indent="1"/>
    </xf>
    <xf numFmtId="169" fontId="68" fillId="0" borderId="0" xfId="10" applyNumberFormat="1" applyFont="1" applyFill="1" applyBorder="1" applyAlignment="1">
      <alignment horizontal="right" indent="1"/>
    </xf>
    <xf numFmtId="0" fontId="56" fillId="0" borderId="0" xfId="10" applyNumberFormat="1" applyFont="1" applyFill="1" applyBorder="1" applyAlignment="1">
      <alignment horizontal="right" indent="1"/>
    </xf>
    <xf numFmtId="169" fontId="68" fillId="0" borderId="0" xfId="10" applyNumberFormat="1" applyFont="1" applyFill="1" applyBorder="1" applyAlignment="1">
      <alignment horizontal="center"/>
    </xf>
    <xf numFmtId="169" fontId="56" fillId="0" borderId="9" xfId="10" applyNumberFormat="1" applyFont="1" applyFill="1" applyBorder="1" applyAlignment="1">
      <alignment horizontal="center"/>
    </xf>
    <xf numFmtId="0" fontId="56" fillId="0" borderId="9" xfId="10" applyNumberFormat="1" applyFont="1" applyFill="1" applyBorder="1" applyAlignment="1">
      <alignment horizontal="right" indent="1"/>
    </xf>
    <xf numFmtId="2" fontId="56" fillId="0" borderId="10" xfId="10" applyNumberFormat="1" applyFont="1" applyFill="1" applyBorder="1" applyAlignment="1">
      <alignment horizontal="right" indent="1"/>
    </xf>
    <xf numFmtId="169" fontId="68" fillId="0" borderId="9" xfId="10" applyNumberFormat="1" applyFont="1" applyFill="1" applyBorder="1" applyAlignment="1">
      <alignment horizontal="right" indent="1"/>
    </xf>
    <xf numFmtId="37" fontId="56" fillId="0" borderId="0" xfId="10" quotePrefix="1" applyNumberFormat="1" applyFont="1" applyFill="1" applyBorder="1" applyAlignment="1" applyProtection="1">
      <alignment horizontal="left" vertical="top"/>
    </xf>
    <xf numFmtId="0" fontId="56" fillId="0" borderId="0" xfId="10" applyNumberFormat="1" applyFont="1" applyFill="1" applyBorder="1"/>
    <xf numFmtId="0" fontId="56" fillId="0" borderId="0" xfId="10" applyNumberFormat="1" applyFont="1" applyFill="1" applyBorder="1" applyAlignment="1">
      <alignment horizontal="right"/>
    </xf>
    <xf numFmtId="0" fontId="68" fillId="0" borderId="0" xfId="10" applyNumberFormat="1" applyFont="1" applyFill="1" applyBorder="1" applyAlignment="1">
      <alignment horizontal="left" indent="1"/>
    </xf>
    <xf numFmtId="0" fontId="58" fillId="0" borderId="1" xfId="10" applyNumberFormat="1" applyFont="1" applyFill="1" applyBorder="1"/>
    <xf numFmtId="0" fontId="58" fillId="0" borderId="2" xfId="10" applyNumberFormat="1" applyFont="1" applyFill="1" applyBorder="1" applyAlignment="1">
      <alignment horizontal="center"/>
    </xf>
    <xf numFmtId="0" fontId="56" fillId="0" borderId="5" xfId="10" applyNumberFormat="1" applyFont="1" applyFill="1" applyBorder="1"/>
    <xf numFmtId="0" fontId="56" fillId="0" borderId="1" xfId="10" applyNumberFormat="1" applyFont="1" applyFill="1" applyBorder="1" applyAlignment="1">
      <alignment horizontal="left" indent="1"/>
    </xf>
    <xf numFmtId="0" fontId="56" fillId="0" borderId="7" xfId="10" applyNumberFormat="1" applyFont="1" applyFill="1" applyBorder="1"/>
    <xf numFmtId="0" fontId="56" fillId="0" borderId="6" xfId="10" applyNumberFormat="1" applyFont="1" applyFill="1" applyBorder="1"/>
    <xf numFmtId="0" fontId="56" fillId="0" borderId="7" xfId="10" applyNumberFormat="1" applyFont="1" applyFill="1" applyBorder="1" applyAlignment="1">
      <alignment horizontal="left" indent="1"/>
    </xf>
    <xf numFmtId="169" fontId="68" fillId="0" borderId="1" xfId="10" applyNumberFormat="1" applyFont="1" applyFill="1" applyBorder="1" applyAlignment="1">
      <alignment horizontal="center"/>
    </xf>
    <xf numFmtId="169" fontId="68" fillId="0" borderId="1" xfId="10" applyNumberFormat="1" applyFont="1" applyFill="1" applyBorder="1" applyAlignment="1">
      <alignment horizontal="right" indent="1"/>
    </xf>
    <xf numFmtId="169" fontId="68" fillId="0" borderId="7" xfId="10" applyNumberFormat="1" applyFont="1" applyFill="1" applyBorder="1" applyAlignment="1">
      <alignment horizontal="center"/>
    </xf>
    <xf numFmtId="169" fontId="68" fillId="0" borderId="7" xfId="10" applyNumberFormat="1" applyFont="1" applyFill="1" applyBorder="1" applyAlignment="1">
      <alignment horizontal="right" indent="1"/>
    </xf>
    <xf numFmtId="0" fontId="68" fillId="0" borderId="0" xfId="10" applyNumberFormat="1" applyFont="1" applyFill="1" applyBorder="1" applyAlignment="1">
      <alignment horizontal="right" indent="1"/>
    </xf>
    <xf numFmtId="0" fontId="68" fillId="0" borderId="9" xfId="10" applyNumberFormat="1" applyFont="1" applyFill="1" applyBorder="1" applyAlignment="1">
      <alignment horizontal="right" indent="1"/>
    </xf>
    <xf numFmtId="0" fontId="56" fillId="0" borderId="9" xfId="10" applyFont="1" applyFill="1" applyBorder="1"/>
    <xf numFmtId="0" fontId="56" fillId="0" borderId="9" xfId="10" applyNumberFormat="1" applyFont="1" applyFill="1" applyBorder="1"/>
    <xf numFmtId="0" fontId="56" fillId="0" borderId="0" xfId="10" applyNumberFormat="1" applyFont="1" applyFill="1"/>
    <xf numFmtId="0" fontId="69" fillId="0" borderId="0" xfId="10" applyNumberFormat="1" applyFont="1" applyFill="1"/>
    <xf numFmtId="0" fontId="56" fillId="0" borderId="11" xfId="10" applyFont="1" applyFill="1" applyBorder="1"/>
    <xf numFmtId="0" fontId="56" fillId="0" borderId="2" xfId="10" applyNumberFormat="1" applyFont="1" applyFill="1" applyBorder="1"/>
    <xf numFmtId="0" fontId="58" fillId="0" borderId="2" xfId="10" applyNumberFormat="1" applyFont="1" applyFill="1" applyBorder="1"/>
    <xf numFmtId="0" fontId="1" fillId="0" borderId="0" xfId="10" applyFill="1" applyBorder="1"/>
    <xf numFmtId="0" fontId="58" fillId="0" borderId="6" xfId="10" applyNumberFormat="1" applyFont="1" applyFill="1" applyBorder="1"/>
    <xf numFmtId="0" fontId="58" fillId="0" borderId="0" xfId="10" applyNumberFormat="1" applyFont="1" applyFill="1"/>
    <xf numFmtId="0" fontId="60" fillId="0" borderId="0" xfId="10" applyNumberFormat="1" applyFont="1" applyFill="1"/>
    <xf numFmtId="37" fontId="56" fillId="0" borderId="15" xfId="10" applyNumberFormat="1" applyFont="1" applyFill="1" applyBorder="1"/>
    <xf numFmtId="169" fontId="56" fillId="0" borderId="1" xfId="10" applyNumberFormat="1" applyFont="1" applyFill="1" applyBorder="1" applyAlignment="1" applyProtection="1">
      <alignment horizontal="center"/>
    </xf>
    <xf numFmtId="169" fontId="56" fillId="0" borderId="7" xfId="10" applyNumberFormat="1" applyFont="1" applyFill="1" applyBorder="1" applyAlignment="1" applyProtection="1">
      <alignment horizontal="center"/>
    </xf>
    <xf numFmtId="169" fontId="68" fillId="0" borderId="7" xfId="10" applyNumberFormat="1" applyFont="1" applyFill="1" applyBorder="1" applyAlignment="1" applyProtection="1">
      <alignment horizontal="center"/>
    </xf>
    <xf numFmtId="2" fontId="56" fillId="0" borderId="0" xfId="10" applyNumberFormat="1" applyFont="1" applyFill="1" applyBorder="1" applyAlignment="1">
      <alignment horizontal="right" indent="1"/>
    </xf>
    <xf numFmtId="169" fontId="56" fillId="0" borderId="8" xfId="10" applyNumberFormat="1" applyFont="1" applyFill="1" applyBorder="1" applyAlignment="1">
      <alignment horizontal="center"/>
    </xf>
    <xf numFmtId="169" fontId="56" fillId="0" borderId="9" xfId="10" applyNumberFormat="1" applyFont="1" applyFill="1" applyBorder="1" applyAlignment="1">
      <alignment horizontal="right" indent="1"/>
    </xf>
    <xf numFmtId="169" fontId="56" fillId="0" borderId="0" xfId="10" applyNumberFormat="1" applyFont="1" applyFill="1" applyBorder="1" applyAlignment="1" applyProtection="1">
      <alignment horizontal="right" indent="1"/>
    </xf>
    <xf numFmtId="37" fontId="54" fillId="0" borderId="0" xfId="10" applyNumberFormat="1" applyFont="1" applyFill="1" applyBorder="1" applyAlignment="1" applyProtection="1">
      <alignment horizontal="left"/>
    </xf>
    <xf numFmtId="0" fontId="70" fillId="0" borderId="0" xfId="10" applyFont="1" applyFill="1" applyBorder="1"/>
    <xf numFmtId="0" fontId="71" fillId="0" borderId="0" xfId="10" applyFont="1" applyFill="1"/>
    <xf numFmtId="0" fontId="50" fillId="0" borderId="0" xfId="11" applyFont="1" applyFill="1" applyAlignment="1">
      <alignment vertical="top"/>
    </xf>
    <xf numFmtId="0" fontId="50" fillId="0" borderId="0" xfId="11" applyFont="1" applyFill="1" applyBorder="1" applyAlignment="1">
      <alignment vertical="top"/>
    </xf>
    <xf numFmtId="0" fontId="14" fillId="0" borderId="0" xfId="11" applyFont="1" applyFill="1"/>
    <xf numFmtId="0" fontId="72" fillId="0" borderId="0" xfId="11" applyFill="1"/>
    <xf numFmtId="186" fontId="48" fillId="0" borderId="0" xfId="11" applyNumberFormat="1" applyFont="1" applyFill="1" applyAlignment="1" applyProtection="1">
      <alignment horizontal="left" vertical="top"/>
    </xf>
    <xf numFmtId="14" fontId="14" fillId="0" borderId="0" xfId="11" applyNumberFormat="1" applyFont="1" applyFill="1" applyAlignment="1" applyProtection="1">
      <alignment horizontal="left" vertical="top"/>
    </xf>
    <xf numFmtId="186" fontId="73" fillId="0" borderId="0" xfId="11" applyNumberFormat="1" applyFont="1" applyFill="1" applyAlignment="1" applyProtection="1">
      <alignment horizontal="left" vertical="top"/>
    </xf>
    <xf numFmtId="14" fontId="72" fillId="0" borderId="0" xfId="11" applyNumberFormat="1" applyFill="1" applyAlignment="1" applyProtection="1">
      <alignment horizontal="left" vertical="top"/>
    </xf>
    <xf numFmtId="0" fontId="54" fillId="0" borderId="56" xfId="11" applyFont="1" applyFill="1" applyBorder="1" applyAlignment="1" applyProtection="1">
      <alignment horizontal="center" vertical="center" wrapText="1"/>
    </xf>
    <xf numFmtId="0" fontId="54" fillId="0" borderId="57" xfId="11" applyFont="1" applyFill="1" applyBorder="1" applyAlignment="1" applyProtection="1">
      <alignment horizontal="center" vertical="center" wrapText="1"/>
    </xf>
    <xf numFmtId="0" fontId="54" fillId="0" borderId="4" xfId="11" applyFont="1" applyFill="1" applyBorder="1" applyAlignment="1" applyProtection="1">
      <alignment horizontal="center" vertical="center" wrapText="1"/>
    </xf>
    <xf numFmtId="186" fontId="54" fillId="0" borderId="58" xfId="11" applyNumberFormat="1" applyFont="1" applyFill="1" applyBorder="1" applyAlignment="1" applyProtection="1">
      <alignment horizontal="center" vertical="center" wrapText="1"/>
    </xf>
    <xf numFmtId="0" fontId="74" fillId="0" borderId="1" xfId="11" applyFont="1" applyFill="1" applyBorder="1" applyAlignment="1" applyProtection="1">
      <alignment vertical="center"/>
    </xf>
    <xf numFmtId="0" fontId="74" fillId="0" borderId="2" xfId="11" applyFont="1" applyFill="1" applyBorder="1" applyAlignment="1" applyProtection="1">
      <alignment vertical="center"/>
    </xf>
    <xf numFmtId="0" fontId="14" fillId="0" borderId="6" xfId="11" applyFont="1" applyFill="1" applyBorder="1"/>
    <xf numFmtId="2" fontId="54" fillId="0" borderId="6" xfId="11" applyNumberFormat="1" applyFont="1" applyFill="1" applyBorder="1" applyAlignment="1" applyProtection="1">
      <alignment horizontal="center" vertical="center"/>
    </xf>
    <xf numFmtId="0" fontId="54" fillId="0" borderId="59" xfId="11" applyFont="1" applyFill="1" applyBorder="1" applyAlignment="1">
      <alignment horizontal="center" vertical="center"/>
    </xf>
    <xf numFmtId="0" fontId="54" fillId="0" borderId="60" xfId="11" applyFont="1" applyFill="1" applyBorder="1" applyAlignment="1">
      <alignment horizontal="center" vertical="center"/>
    </xf>
    <xf numFmtId="0" fontId="54" fillId="0" borderId="6" xfId="11" applyFont="1" applyFill="1" applyBorder="1" applyAlignment="1">
      <alignment horizontal="center" vertical="center"/>
    </xf>
    <xf numFmtId="183" fontId="54" fillId="0" borderId="61" xfId="11" applyNumberFormat="1" applyFont="1" applyFill="1" applyBorder="1" applyAlignment="1" applyProtection="1">
      <alignment vertical="center"/>
    </xf>
    <xf numFmtId="175" fontId="54" fillId="0" borderId="60" xfId="11" applyNumberFormat="1" applyFont="1" applyFill="1" applyBorder="1" applyAlignment="1" applyProtection="1">
      <alignment vertical="center"/>
    </xf>
    <xf numFmtId="175" fontId="54" fillId="0" borderId="6" xfId="11" applyNumberFormat="1" applyFont="1" applyFill="1" applyBorder="1" applyAlignment="1" applyProtection="1">
      <alignment vertical="center"/>
    </xf>
    <xf numFmtId="175" fontId="54" fillId="0" borderId="61" xfId="11" applyNumberFormat="1" applyFont="1" applyFill="1" applyBorder="1" applyAlignment="1" applyProtection="1">
      <alignment vertical="center"/>
    </xf>
    <xf numFmtId="0" fontId="54" fillId="0" borderId="7" xfId="11" applyFont="1" applyFill="1" applyBorder="1" applyAlignment="1">
      <alignment horizontal="center" vertical="center"/>
    </xf>
    <xf numFmtId="175" fontId="54" fillId="0" borderId="60" xfId="11" applyNumberFormat="1" applyFont="1" applyFill="1" applyBorder="1" applyAlignment="1">
      <alignment vertical="center"/>
    </xf>
    <xf numFmtId="175" fontId="54" fillId="0" borderId="6" xfId="11" applyNumberFormat="1" applyFont="1" applyFill="1" applyBorder="1" applyAlignment="1">
      <alignment vertical="center"/>
    </xf>
    <xf numFmtId="0" fontId="74" fillId="0" borderId="7" xfId="11" applyFont="1" applyFill="1" applyBorder="1" applyAlignment="1">
      <alignment vertical="center"/>
    </xf>
    <xf numFmtId="175" fontId="54" fillId="0" borderId="0" xfId="11" applyNumberFormat="1" applyFont="1" applyFill="1" applyBorder="1" applyAlignment="1" applyProtection="1">
      <alignment vertical="center"/>
    </xf>
    <xf numFmtId="175" fontId="54" fillId="0" borderId="61" xfId="11" applyNumberFormat="1" applyFont="1" applyFill="1" applyBorder="1" applyAlignment="1">
      <alignment vertical="center"/>
    </xf>
    <xf numFmtId="175" fontId="74" fillId="0" borderId="0" xfId="11" applyNumberFormat="1" applyFont="1" applyFill="1" applyBorder="1" applyAlignment="1">
      <alignment vertical="center"/>
    </xf>
    <xf numFmtId="175" fontId="74" fillId="0" borderId="6" xfId="11" applyNumberFormat="1" applyFont="1" applyFill="1" applyBorder="1" applyAlignment="1">
      <alignment vertical="center"/>
    </xf>
    <xf numFmtId="175" fontId="54" fillId="0" borderId="0" xfId="11" applyNumberFormat="1" applyFont="1" applyFill="1" applyBorder="1" applyAlignment="1">
      <alignment horizontal="center" vertical="center"/>
    </xf>
    <xf numFmtId="175" fontId="54" fillId="0" borderId="6" xfId="11" applyNumberFormat="1" applyFont="1" applyFill="1" applyBorder="1" applyAlignment="1">
      <alignment horizontal="center" vertical="center"/>
    </xf>
    <xf numFmtId="175" fontId="74" fillId="0" borderId="60" xfId="11" applyNumberFormat="1" applyFont="1" applyFill="1" applyBorder="1" applyAlignment="1" applyProtection="1">
      <alignment horizontal="right" vertical="center" indent="1"/>
    </xf>
    <xf numFmtId="175" fontId="54" fillId="0" borderId="62" xfId="11" applyNumberFormat="1" applyFont="1" applyFill="1" applyBorder="1" applyAlignment="1">
      <alignment vertical="center"/>
    </xf>
    <xf numFmtId="2" fontId="74" fillId="0" borderId="7" xfId="11" applyNumberFormat="1" applyFont="1" applyFill="1" applyBorder="1" applyAlignment="1" applyProtection="1">
      <alignment vertical="center"/>
    </xf>
    <xf numFmtId="175" fontId="74" fillId="0" borderId="6" xfId="11" applyNumberFormat="1" applyFont="1" applyFill="1" applyBorder="1" applyAlignment="1" applyProtection="1">
      <alignment horizontal="right" vertical="center" indent="1"/>
    </xf>
    <xf numFmtId="175" fontId="14" fillId="0" borderId="0" xfId="11" applyNumberFormat="1" applyFont="1" applyFill="1" applyBorder="1"/>
    <xf numFmtId="175" fontId="54" fillId="0" borderId="12" xfId="11" applyNumberFormat="1" applyFont="1" applyFill="1" applyBorder="1" applyAlignment="1" applyProtection="1">
      <alignment vertical="center"/>
    </xf>
    <xf numFmtId="175" fontId="54" fillId="0" borderId="62" xfId="11" applyNumberFormat="1" applyFont="1" applyFill="1" applyBorder="1" applyAlignment="1" applyProtection="1">
      <alignment vertical="center"/>
    </xf>
    <xf numFmtId="0" fontId="74" fillId="0" borderId="63" xfId="11" applyFont="1" applyFill="1" applyBorder="1" applyAlignment="1">
      <alignment horizontal="left" vertical="center"/>
    </xf>
    <xf numFmtId="175" fontId="14" fillId="0" borderId="2" xfId="11" applyNumberFormat="1" applyFont="1" applyFill="1" applyBorder="1"/>
    <xf numFmtId="175" fontId="14" fillId="0" borderId="11" xfId="11" applyNumberFormat="1" applyFont="1" applyFill="1" applyBorder="1"/>
    <xf numFmtId="0" fontId="54" fillId="0" borderId="64" xfId="11" applyFont="1" applyFill="1" applyBorder="1" applyAlignment="1">
      <alignment horizontal="center" vertical="center"/>
    </xf>
    <xf numFmtId="175" fontId="54" fillId="0" borderId="65" xfId="11" applyNumberFormat="1" applyFont="1" applyFill="1" applyBorder="1" applyAlignment="1">
      <alignment vertical="center"/>
    </xf>
    <xf numFmtId="175" fontId="54" fillId="0" borderId="13" xfId="11" applyNumberFormat="1" applyFont="1" applyFill="1" applyBorder="1" applyAlignment="1" applyProtection="1">
      <alignment vertical="center"/>
    </xf>
    <xf numFmtId="0" fontId="54" fillId="0" borderId="66" xfId="11" applyFont="1" applyFill="1" applyBorder="1" applyAlignment="1">
      <alignment horizontal="left" vertical="center"/>
    </xf>
    <xf numFmtId="175" fontId="29" fillId="0" borderId="0" xfId="11" applyNumberFormat="1" applyFont="1" applyFill="1"/>
    <xf numFmtId="186" fontId="73" fillId="0" borderId="0" xfId="11" applyNumberFormat="1" applyFont="1" applyFill="1" applyBorder="1" applyAlignment="1" applyProtection="1">
      <alignment horizontal="left" vertical="top"/>
    </xf>
    <xf numFmtId="0" fontId="72" fillId="0" borderId="0" xfId="11" applyFill="1" applyBorder="1"/>
    <xf numFmtId="183" fontId="54" fillId="0" borderId="56" xfId="11" applyNumberFormat="1" applyFont="1" applyFill="1" applyBorder="1" applyAlignment="1" applyProtection="1">
      <alignment horizontal="center" vertical="center" wrapText="1"/>
    </xf>
    <xf numFmtId="183" fontId="54" fillId="0" borderId="14" xfId="11" applyNumberFormat="1" applyFont="1" applyFill="1" applyBorder="1" applyAlignment="1" applyProtection="1">
      <alignment horizontal="center" vertical="center" wrapText="1"/>
    </xf>
    <xf numFmtId="183" fontId="54" fillId="0" borderId="67" xfId="11" applyNumberFormat="1" applyFont="1" applyFill="1" applyBorder="1" applyAlignment="1" applyProtection="1">
      <alignment horizontal="center" vertical="center" wrapText="1"/>
    </xf>
    <xf numFmtId="183" fontId="54" fillId="0" borderId="15" xfId="11" applyNumberFormat="1" applyFont="1" applyFill="1" applyBorder="1" applyAlignment="1" applyProtection="1">
      <alignment horizontal="center" vertical="center" wrapText="1"/>
    </xf>
    <xf numFmtId="183" fontId="74" fillId="0" borderId="7" xfId="11" applyNumberFormat="1" applyFont="1" applyFill="1" applyBorder="1" applyAlignment="1">
      <alignment vertical="center"/>
    </xf>
    <xf numFmtId="183" fontId="74" fillId="0" borderId="0" xfId="11" applyNumberFormat="1" applyFont="1" applyFill="1" applyBorder="1" applyAlignment="1">
      <alignment vertical="center"/>
    </xf>
    <xf numFmtId="183" fontId="54" fillId="0" borderId="0" xfId="11" applyNumberFormat="1" applyFont="1" applyFill="1" applyBorder="1" applyAlignment="1" applyProtection="1">
      <alignment vertical="center"/>
    </xf>
    <xf numFmtId="183" fontId="54" fillId="0" borderId="2" xfId="11" applyNumberFormat="1" applyFont="1" applyFill="1" applyBorder="1" applyAlignment="1" applyProtection="1">
      <alignment vertical="center"/>
    </xf>
    <xf numFmtId="183" fontId="54" fillId="0" borderId="12" xfId="11" applyNumberFormat="1" applyFont="1" applyFill="1" applyBorder="1" applyAlignment="1" applyProtection="1">
      <alignment horizontal="center" vertical="center"/>
    </xf>
    <xf numFmtId="183" fontId="54" fillId="0" borderId="7" xfId="11" applyNumberFormat="1" applyFont="1" applyFill="1" applyBorder="1" applyAlignment="1">
      <alignment horizontal="center" vertical="center"/>
    </xf>
    <xf numFmtId="183" fontId="54" fillId="0" borderId="0" xfId="11" applyNumberFormat="1" applyFont="1" applyFill="1" applyBorder="1" applyAlignment="1">
      <alignment horizontal="center" vertical="center"/>
    </xf>
    <xf numFmtId="183" fontId="54" fillId="0" borderId="68" xfId="11" applyNumberFormat="1" applyFont="1" applyFill="1" applyBorder="1" applyAlignment="1">
      <alignment vertical="center"/>
    </xf>
    <xf numFmtId="183" fontId="54" fillId="0" borderId="12" xfId="11" applyNumberFormat="1" applyFont="1" applyFill="1" applyBorder="1" applyAlignment="1">
      <alignment vertical="center"/>
    </xf>
    <xf numFmtId="183" fontId="54" fillId="0" borderId="68" xfId="11" applyNumberFormat="1" applyFont="1" applyFill="1" applyBorder="1" applyAlignment="1" applyProtection="1">
      <alignment vertical="center"/>
    </xf>
    <xf numFmtId="183" fontId="54" fillId="0" borderId="12" xfId="11" applyNumberFormat="1" applyFont="1" applyFill="1" applyBorder="1" applyAlignment="1" applyProtection="1">
      <alignment vertical="center"/>
    </xf>
    <xf numFmtId="0" fontId="54" fillId="0" borderId="59" xfId="11" applyNumberFormat="1" applyFont="1" applyFill="1" applyBorder="1" applyAlignment="1">
      <alignment horizontal="center" vertical="center"/>
    </xf>
    <xf numFmtId="0" fontId="54" fillId="0" borderId="62" xfId="11" applyNumberFormat="1" applyFont="1" applyFill="1" applyBorder="1" applyAlignment="1">
      <alignment horizontal="center" vertical="center"/>
    </xf>
    <xf numFmtId="183" fontId="54" fillId="0" borderId="60" xfId="11" applyNumberFormat="1" applyFont="1" applyFill="1" applyBorder="1" applyAlignment="1" applyProtection="1">
      <alignment vertical="center"/>
    </xf>
    <xf numFmtId="180" fontId="54" fillId="0" borderId="60" xfId="11" applyNumberFormat="1" applyFont="1" applyFill="1" applyBorder="1" applyAlignment="1" applyProtection="1">
      <alignment vertical="center"/>
    </xf>
    <xf numFmtId="180" fontId="54" fillId="0" borderId="68" xfId="11" applyNumberFormat="1" applyFont="1" applyFill="1" applyBorder="1" applyAlignment="1" applyProtection="1">
      <alignment vertical="center"/>
    </xf>
    <xf numFmtId="180" fontId="54" fillId="0" borderId="12" xfId="11" applyNumberFormat="1" applyFont="1" applyFill="1" applyBorder="1" applyAlignment="1" applyProtection="1">
      <alignment vertical="center"/>
    </xf>
    <xf numFmtId="180" fontId="54" fillId="0" borderId="62" xfId="11" applyNumberFormat="1" applyFont="1" applyFill="1" applyBorder="1" applyAlignment="1">
      <alignment vertical="center"/>
    </xf>
    <xf numFmtId="180" fontId="54" fillId="0" borderId="60" xfId="11" applyNumberFormat="1" applyFont="1" applyFill="1" applyBorder="1" applyAlignment="1">
      <alignment vertical="center"/>
    </xf>
    <xf numFmtId="180" fontId="54" fillId="0" borderId="0" xfId="11" applyNumberFormat="1" applyFont="1" applyFill="1" applyBorder="1" applyAlignment="1" applyProtection="1">
      <alignment vertical="center"/>
    </xf>
    <xf numFmtId="180" fontId="54" fillId="0" borderId="0" xfId="11" applyNumberFormat="1" applyFont="1" applyFill="1" applyBorder="1" applyAlignment="1">
      <alignment vertical="center"/>
    </xf>
    <xf numFmtId="0" fontId="54" fillId="0" borderId="7" xfId="11" applyNumberFormat="1" applyFont="1" applyFill="1" applyBorder="1" applyAlignment="1">
      <alignment horizontal="center" vertical="center"/>
    </xf>
    <xf numFmtId="180" fontId="74" fillId="0" borderId="0" xfId="11" applyNumberFormat="1" applyFont="1" applyFill="1" applyBorder="1" applyAlignment="1">
      <alignment vertical="center"/>
    </xf>
    <xf numFmtId="180" fontId="54" fillId="0" borderId="62" xfId="11" applyNumberFormat="1" applyFont="1" applyFill="1" applyBorder="1" applyAlignment="1" applyProtection="1">
      <alignment vertical="center"/>
    </xf>
    <xf numFmtId="180" fontId="59" fillId="0" borderId="0" xfId="11" applyNumberFormat="1" applyFont="1" applyFill="1" applyBorder="1" applyAlignment="1">
      <alignment vertical="center"/>
    </xf>
    <xf numFmtId="0" fontId="74" fillId="0" borderId="59" xfId="11" applyFont="1" applyFill="1" applyBorder="1" applyAlignment="1">
      <alignment horizontal="left" vertical="center"/>
    </xf>
    <xf numFmtId="0" fontId="14" fillId="0" borderId="0" xfId="11" applyFont="1" applyFill="1" applyBorder="1"/>
    <xf numFmtId="0" fontId="14" fillId="0" borderId="12" xfId="11" applyFont="1" applyFill="1" applyBorder="1"/>
    <xf numFmtId="180" fontId="54" fillId="0" borderId="68" xfId="11" applyNumberFormat="1" applyFont="1" applyFill="1" applyBorder="1" applyAlignment="1">
      <alignment vertical="center"/>
    </xf>
    <xf numFmtId="180" fontId="54" fillId="0" borderId="12" xfId="11" applyNumberFormat="1" applyFont="1" applyFill="1" applyBorder="1" applyAlignment="1">
      <alignment vertical="center"/>
    </xf>
    <xf numFmtId="0" fontId="54" fillId="0" borderId="64" xfId="11" applyNumberFormat="1" applyFont="1" applyFill="1" applyBorder="1" applyAlignment="1">
      <alignment horizontal="center" vertical="center"/>
    </xf>
    <xf numFmtId="180" fontId="54" fillId="0" borderId="65" xfId="11" applyNumberFormat="1" applyFont="1" applyFill="1" applyBorder="1" applyAlignment="1" applyProtection="1">
      <alignment vertical="center"/>
    </xf>
    <xf numFmtId="180" fontId="54" fillId="0" borderId="69" xfId="11" applyNumberFormat="1" applyFont="1" applyFill="1" applyBorder="1" applyAlignment="1">
      <alignment vertical="center"/>
    </xf>
    <xf numFmtId="180" fontId="54" fillId="0" borderId="65" xfId="11" applyNumberFormat="1" applyFont="1" applyFill="1" applyBorder="1" applyAlignment="1">
      <alignment vertical="center"/>
    </xf>
    <xf numFmtId="180" fontId="54" fillId="0" borderId="9" xfId="11" applyNumberFormat="1" applyFont="1" applyFill="1" applyBorder="1" applyAlignment="1" applyProtection="1">
      <alignment vertical="center"/>
    </xf>
    <xf numFmtId="180" fontId="54" fillId="0" borderId="13" xfId="11" applyNumberFormat="1" applyFont="1" applyFill="1" applyBorder="1" applyAlignment="1" applyProtection="1">
      <alignment vertical="center"/>
    </xf>
    <xf numFmtId="0" fontId="63" fillId="0" borderId="15" xfId="10" applyFont="1" applyBorder="1" applyAlignment="1">
      <alignment horizontal="center"/>
    </xf>
    <xf numFmtId="0" fontId="63" fillId="0" borderId="11" xfId="10" applyFont="1" applyBorder="1"/>
    <xf numFmtId="169" fontId="63" fillId="0" borderId="12" xfId="10" applyNumberFormat="1" applyFont="1" applyBorder="1"/>
    <xf numFmtId="0" fontId="63" fillId="0" borderId="12" xfId="10" applyFont="1" applyBorder="1"/>
    <xf numFmtId="0" fontId="63" fillId="0" borderId="13" xfId="10" applyFont="1" applyBorder="1"/>
    <xf numFmtId="169" fontId="63" fillId="0" borderId="15" xfId="10" applyNumberFormat="1" applyFont="1" applyBorder="1"/>
    <xf numFmtId="169" fontId="1" fillId="0" borderId="0" xfId="10" applyNumberFormat="1"/>
    <xf numFmtId="0" fontId="57" fillId="0" borderId="2" xfId="10" applyFont="1" applyFill="1" applyBorder="1"/>
    <xf numFmtId="0" fontId="5" fillId="0" borderId="2" xfId="0" applyFont="1" applyFill="1" applyBorder="1"/>
    <xf numFmtId="167" fontId="7" fillId="0" borderId="3" xfId="1" applyFill="1" applyBorder="1" applyAlignment="1">
      <alignment wrapText="1"/>
    </xf>
    <xf numFmtId="167" fontId="7" fillId="0" borderId="4" xfId="1" applyFill="1" applyBorder="1" applyAlignment="1">
      <alignment wrapText="1"/>
    </xf>
    <xf numFmtId="167" fontId="19" fillId="0" borderId="11" xfId="4" applyNumberFormat="1" applyBorder="1" applyAlignment="1">
      <alignment horizontal="left" vertical="center"/>
    </xf>
    <xf numFmtId="167" fontId="19" fillId="0" borderId="12" xfId="4" applyNumberFormat="1" applyBorder="1" applyAlignment="1">
      <alignment horizontal="left" vertical="center"/>
    </xf>
    <xf numFmtId="167" fontId="19" fillId="0" borderId="13" xfId="4" applyNumberFormat="1" applyBorder="1" applyAlignment="1">
      <alignment horizontal="left" vertical="center"/>
    </xf>
    <xf numFmtId="167" fontId="19" fillId="0" borderId="15" xfId="4" applyNumberFormat="1" applyBorder="1" applyAlignment="1">
      <alignment horizontal="center" vertical="center"/>
    </xf>
    <xf numFmtId="167" fontId="22" fillId="0" borderId="3" xfId="4" applyNumberFormat="1" applyFont="1" applyBorder="1" applyAlignment="1">
      <alignment horizontal="right"/>
    </xf>
    <xf numFmtId="167" fontId="22" fillId="0" borderId="14" xfId="4" applyNumberFormat="1" applyFont="1" applyBorder="1" applyAlignment="1">
      <alignment horizontal="right"/>
    </xf>
    <xf numFmtId="167" fontId="22" fillId="0" borderId="4" xfId="4" applyNumberFormat="1" applyFont="1" applyBorder="1" applyAlignment="1">
      <alignment horizontal="right"/>
    </xf>
    <xf numFmtId="0" fontId="3" fillId="0" borderId="11" xfId="5" applyFont="1" applyFill="1" applyBorder="1" applyAlignment="1">
      <alignment horizontal="center" vertical="center" wrapText="1"/>
    </xf>
    <xf numFmtId="0" fontId="3" fillId="0" borderId="13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wrapText="1"/>
    </xf>
    <xf numFmtId="0" fontId="3" fillId="0" borderId="14" xfId="5" applyFont="1" applyFill="1" applyBorder="1" applyAlignment="1">
      <alignment horizontal="center" wrapText="1"/>
    </xf>
    <xf numFmtId="0" fontId="3" fillId="0" borderId="4" xfId="5" applyFont="1" applyFill="1" applyBorder="1" applyAlignment="1">
      <alignment horizont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14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37" fontId="3" fillId="0" borderId="8" xfId="3" applyFont="1" applyBorder="1" applyAlignment="1">
      <alignment horizontal="center"/>
    </xf>
    <xf numFmtId="37" fontId="3" fillId="0" borderId="10" xfId="3" applyFont="1" applyBorder="1" applyAlignment="1">
      <alignment horizontal="center"/>
    </xf>
    <xf numFmtId="37" fontId="3" fillId="0" borderId="9" xfId="3" applyFont="1" applyBorder="1" applyAlignment="1">
      <alignment horizontal="center"/>
    </xf>
    <xf numFmtId="37" fontId="3" fillId="2" borderId="7" xfId="3" applyFont="1" applyFill="1" applyBorder="1" applyAlignment="1">
      <alignment horizontal="center"/>
    </xf>
    <xf numFmtId="37" fontId="3" fillId="2" borderId="0" xfId="3" applyFont="1" applyFill="1" applyBorder="1" applyAlignment="1">
      <alignment horizontal="center"/>
    </xf>
    <xf numFmtId="37" fontId="3" fillId="0" borderId="7" xfId="3" applyFont="1" applyBorder="1" applyAlignment="1">
      <alignment horizontal="center"/>
    </xf>
    <xf numFmtId="37" fontId="3" fillId="0" borderId="0" xfId="3" applyFont="1" applyBorder="1" applyAlignment="1">
      <alignment horizontal="center"/>
    </xf>
    <xf numFmtId="37" fontId="3" fillId="0" borderId="6" xfId="3" applyFont="1" applyBorder="1" applyAlignment="1">
      <alignment horizontal="center"/>
    </xf>
    <xf numFmtId="37" fontId="3" fillId="0" borderId="7" xfId="3" applyFont="1" applyFill="1" applyBorder="1" applyAlignment="1">
      <alignment horizontal="center"/>
    </xf>
    <xf numFmtId="37" fontId="3" fillId="0" borderId="6" xfId="3" applyFont="1" applyFill="1" applyBorder="1" applyAlignment="1">
      <alignment horizontal="center"/>
    </xf>
    <xf numFmtId="175" fontId="3" fillId="0" borderId="7" xfId="1" applyNumberFormat="1" applyFont="1" applyFill="1" applyBorder="1" applyAlignment="1" applyProtection="1">
      <alignment horizontal="center"/>
    </xf>
    <xf numFmtId="175" fontId="3" fillId="0" borderId="6" xfId="1" applyNumberFormat="1" applyFont="1" applyFill="1" applyBorder="1" applyAlignment="1" applyProtection="1">
      <alignment horizontal="center"/>
    </xf>
    <xf numFmtId="175" fontId="3" fillId="0" borderId="7" xfId="1" applyNumberFormat="1" applyFont="1" applyFill="1" applyBorder="1" applyAlignment="1">
      <alignment horizontal="center" vertical="center"/>
    </xf>
    <xf numFmtId="175" fontId="3" fillId="0" borderId="6" xfId="1" applyNumberFormat="1" applyFont="1" applyFill="1" applyBorder="1" applyAlignment="1">
      <alignment horizontal="center" vertical="center"/>
    </xf>
    <xf numFmtId="175" fontId="3" fillId="0" borderId="0" xfId="1" applyNumberFormat="1" applyFont="1" applyFill="1" applyBorder="1" applyAlignment="1">
      <alignment horizontal="center" vertical="center"/>
    </xf>
    <xf numFmtId="175" fontId="3" fillId="0" borderId="7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Alignment="1">
      <alignment horizontal="center"/>
    </xf>
    <xf numFmtId="175" fontId="3" fillId="0" borderId="6" xfId="1" applyNumberFormat="1" applyFont="1" applyFill="1" applyBorder="1" applyAlignment="1">
      <alignment horizontal="center"/>
    </xf>
    <xf numFmtId="37" fontId="3" fillId="0" borderId="8" xfId="1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37" fontId="3" fillId="0" borderId="9" xfId="1" applyNumberFormat="1" applyFont="1" applyBorder="1" applyAlignment="1">
      <alignment horizontal="center"/>
    </xf>
    <xf numFmtId="175" fontId="3" fillId="0" borderId="0" xfId="1" applyNumberFormat="1" applyFont="1" applyFill="1" applyBorder="1" applyAlignment="1" applyProtection="1">
      <alignment horizontal="center"/>
    </xf>
    <xf numFmtId="0" fontId="24" fillId="0" borderId="15" xfId="4" applyFont="1" applyFill="1" applyBorder="1" applyAlignment="1">
      <alignment horizontal="center" wrapText="1"/>
    </xf>
    <xf numFmtId="0" fontId="3" fillId="0" borderId="15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left" vertical="center" wrapText="1"/>
    </xf>
    <xf numFmtId="0" fontId="24" fillId="0" borderId="15" xfId="4" applyFont="1" applyFill="1" applyBorder="1" applyAlignment="1">
      <alignment horizontal="left" vertical="center" wrapText="1"/>
    </xf>
    <xf numFmtId="173" fontId="3" fillId="0" borderId="15" xfId="4" applyNumberFormat="1" applyFont="1" applyFill="1" applyBorder="1" applyAlignment="1">
      <alignment horizontal="right" vertical="center" indent="5"/>
    </xf>
    <xf numFmtId="173" fontId="3" fillId="0" borderId="15" xfId="4" applyNumberFormat="1" applyFont="1" applyFill="1" applyBorder="1" applyAlignment="1">
      <alignment horizontal="right" vertical="center" indent="2"/>
    </xf>
    <xf numFmtId="0" fontId="3" fillId="0" borderId="11" xfId="8" applyFont="1" applyBorder="1" applyAlignment="1">
      <alignment horizontal="center" vertical="center" wrapText="1"/>
    </xf>
    <xf numFmtId="0" fontId="3" fillId="0" borderId="12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3" fontId="3" fillId="0" borderId="11" xfId="8" applyNumberFormat="1" applyFont="1" applyFill="1" applyBorder="1" applyAlignment="1">
      <alignment horizontal="center" vertical="center"/>
    </xf>
    <xf numFmtId="3" fontId="3" fillId="0" borderId="12" xfId="8" applyNumberFormat="1" applyFont="1" applyFill="1" applyBorder="1" applyAlignment="1">
      <alignment horizontal="center" vertical="center"/>
    </xf>
    <xf numFmtId="3" fontId="3" fillId="0" borderId="13" xfId="8" applyNumberFormat="1" applyFont="1" applyFill="1" applyBorder="1" applyAlignment="1">
      <alignment horizontal="center" vertical="center"/>
    </xf>
    <xf numFmtId="0" fontId="51" fillId="0" borderId="15" xfId="10" applyFont="1" applyFill="1" applyBorder="1" applyAlignment="1">
      <alignment horizontal="center" vertical="center"/>
    </xf>
    <xf numFmtId="0" fontId="51" fillId="0" borderId="15" xfId="10" applyFont="1" applyFill="1" applyBorder="1" applyAlignment="1">
      <alignment horizontal="center" vertical="top"/>
    </xf>
    <xf numFmtId="0" fontId="14" fillId="0" borderId="11" xfId="10" applyFont="1" applyFill="1" applyBorder="1" applyAlignment="1">
      <alignment horizontal="center" vertical="top" wrapText="1"/>
    </xf>
    <xf numFmtId="0" fontId="14" fillId="0" borderId="13" xfId="10" applyFont="1" applyFill="1" applyBorder="1" applyAlignment="1">
      <alignment horizontal="center" vertical="top" wrapText="1"/>
    </xf>
    <xf numFmtId="0" fontId="14" fillId="0" borderId="11" xfId="10" applyFont="1" applyFill="1" applyBorder="1" applyAlignment="1">
      <alignment horizontal="center" vertical="top" wrapText="1" readingOrder="1"/>
    </xf>
    <xf numFmtId="0" fontId="14" fillId="0" borderId="13" xfId="10" applyFont="1" applyFill="1" applyBorder="1" applyAlignment="1">
      <alignment horizontal="center" vertical="top" wrapText="1" readingOrder="1"/>
    </xf>
    <xf numFmtId="0" fontId="14" fillId="0" borderId="15" xfId="10" applyFont="1" applyFill="1" applyBorder="1" applyAlignment="1">
      <alignment horizontal="center" vertical="center" wrapText="1"/>
    </xf>
    <xf numFmtId="38" fontId="48" fillId="0" borderId="33" xfId="10" applyNumberFormat="1" applyFont="1" applyBorder="1" applyAlignment="1" applyProtection="1">
      <alignment horizontal="center" vertical="center" wrapText="1"/>
    </xf>
    <xf numFmtId="0" fontId="48" fillId="0" borderId="39" xfId="10" applyFont="1" applyBorder="1" applyAlignment="1">
      <alignment horizontal="center" vertical="center" wrapText="1"/>
    </xf>
    <xf numFmtId="183" fontId="48" fillId="0" borderId="35" xfId="10" applyNumberFormat="1" applyFont="1" applyBorder="1" applyAlignment="1" applyProtection="1">
      <alignment horizontal="center" vertical="center"/>
    </xf>
    <xf numFmtId="183" fontId="48" fillId="0" borderId="36" xfId="10" applyNumberFormat="1" applyFont="1" applyBorder="1" applyAlignment="1" applyProtection="1">
      <alignment horizontal="center" vertical="center"/>
    </xf>
    <xf numFmtId="183" fontId="48" fillId="0" borderId="37" xfId="10" applyNumberFormat="1" applyFont="1" applyBorder="1" applyAlignment="1" applyProtection="1">
      <alignment horizontal="center" vertical="center"/>
    </xf>
    <xf numFmtId="38" fontId="48" fillId="0" borderId="38" xfId="10" applyNumberFormat="1" applyFont="1" applyBorder="1" applyAlignment="1" applyProtection="1">
      <alignment horizontal="center" vertical="center" wrapText="1"/>
    </xf>
    <xf numFmtId="0" fontId="48" fillId="0" borderId="41" xfId="10" applyFont="1" applyBorder="1" applyAlignment="1">
      <alignment horizontal="center" vertical="center" wrapText="1"/>
    </xf>
  </cellXfs>
  <cellStyles count="12">
    <cellStyle name="Prozent 2" xfId="2"/>
    <cellStyle name="Standard" xfId="0" builtinId="0"/>
    <cellStyle name="Standard 2" xfId="1"/>
    <cellStyle name="Standard 2 2" xfId="5"/>
    <cellStyle name="Standard 3" xfId="3"/>
    <cellStyle name="Standard 4" xfId="4"/>
    <cellStyle name="Standard 5" xfId="6"/>
    <cellStyle name="Standard 5 2" xfId="9"/>
    <cellStyle name="Standard 6" xfId="7"/>
    <cellStyle name="Standard 7" xfId="8"/>
    <cellStyle name="Standard 8" xfId="10"/>
    <cellStyle name="Standard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gemst\AppData\Local\Temp\TABELLE_1_und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gemst\AppData\Local\Temp\Vermahlung_Gr&#246;&#223;enklass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gemst\AppData\Local\Temp\DATEN\Ref513\MVO800\MSTR833\Wj10_11\Tabellen_&#220;bersichten_Abbildungen\UEBERSICHT6_FERT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VO800\MSTR833\Wj12_13\Tabelle_1_und_2_Rohda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 1 und TABELLE 2"/>
      <sheetName val="Vergleich_Vorjahr"/>
      <sheetName val="Tabelle_1_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 refreshError="1">
        <row r="277">
          <cell r="N277">
            <v>20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EBERS6"/>
    </sheetNames>
    <sheetDataSet>
      <sheetData sheetId="0">
        <row r="56">
          <cell r="B56">
            <v>6</v>
          </cell>
          <cell r="C56">
            <v>17</v>
          </cell>
          <cell r="D56">
            <v>22</v>
          </cell>
          <cell r="E56">
            <v>13</v>
          </cell>
          <cell r="F56">
            <v>12</v>
          </cell>
          <cell r="G56">
            <v>67</v>
          </cell>
          <cell r="H56">
            <v>75</v>
          </cell>
          <cell r="I56">
            <v>7</v>
          </cell>
        </row>
        <row r="80">
          <cell r="B80">
            <v>8</v>
          </cell>
          <cell r="D80">
            <v>17</v>
          </cell>
          <cell r="F80">
            <v>17</v>
          </cell>
          <cell r="I80">
            <v>261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1"/>
      <sheetName val="Mozart Reports"/>
      <sheetName val="Tabelle_1_2"/>
      <sheetName val="Veränderung zu Vorjahr"/>
      <sheetName val="Tabelle2"/>
    </sheetNames>
    <sheetDataSet>
      <sheetData sheetId="0"/>
      <sheetData sheetId="1"/>
      <sheetData sheetId="2">
        <row r="9">
          <cell r="E9">
            <v>200</v>
          </cell>
          <cell r="F9">
            <v>15</v>
          </cell>
          <cell r="J9">
            <v>1329</v>
          </cell>
          <cell r="K9">
            <v>1273</v>
          </cell>
          <cell r="O9">
            <v>5250</v>
          </cell>
          <cell r="P9">
            <v>495</v>
          </cell>
        </row>
        <row r="10">
          <cell r="E10">
            <v>11755</v>
          </cell>
          <cell r="F10">
            <v>6025</v>
          </cell>
          <cell r="J10">
            <v>12033</v>
          </cell>
          <cell r="K10">
            <v>21458</v>
          </cell>
          <cell r="O10">
            <v>106474</v>
          </cell>
          <cell r="P10">
            <v>19676</v>
          </cell>
          <cell r="T10">
            <v>15029</v>
          </cell>
          <cell r="U10">
            <v>12640</v>
          </cell>
        </row>
        <row r="11">
          <cell r="E11">
            <v>18501</v>
          </cell>
          <cell r="F11">
            <v>4706</v>
          </cell>
          <cell r="T11">
            <v>4310</v>
          </cell>
          <cell r="U11">
            <v>1752</v>
          </cell>
        </row>
        <row r="14">
          <cell r="E14">
            <v>81360</v>
          </cell>
          <cell r="F14">
            <v>34354</v>
          </cell>
          <cell r="T14">
            <v>77645</v>
          </cell>
          <cell r="U14">
            <v>39313</v>
          </cell>
        </row>
        <row r="15">
          <cell r="E15">
            <v>859782</v>
          </cell>
          <cell r="F15">
            <v>45584</v>
          </cell>
          <cell r="T15">
            <v>383368</v>
          </cell>
          <cell r="U15">
            <v>27405</v>
          </cell>
        </row>
        <row r="16">
          <cell r="E16">
            <v>616674</v>
          </cell>
          <cell r="F16">
            <v>66373</v>
          </cell>
          <cell r="T16">
            <v>796742</v>
          </cell>
          <cell r="U16">
            <v>52574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/>
  </sheetViews>
  <sheetFormatPr baseColWidth="10" defaultRowHeight="12.75"/>
  <cols>
    <col min="1" max="1" width="6.140625" style="3" customWidth="1"/>
    <col min="2" max="2" width="23.140625" style="3" customWidth="1"/>
    <col min="3" max="3" width="18.42578125" style="3" customWidth="1"/>
    <col min="4" max="4" width="11.5703125" style="3" bestFit="1" customWidth="1"/>
    <col min="5" max="5" width="8.7109375" style="3" customWidth="1"/>
    <col min="6" max="6" width="11.85546875" style="3" bestFit="1" customWidth="1"/>
    <col min="7" max="7" width="9.7109375" style="3" customWidth="1"/>
    <col min="8" max="8" width="4.7109375" style="3" customWidth="1"/>
    <col min="9" max="16384" width="11.42578125" style="3"/>
  </cols>
  <sheetData>
    <row r="1" spans="1:12" ht="18.75">
      <c r="A1" s="1" t="s">
        <v>0</v>
      </c>
      <c r="B1" s="1"/>
      <c r="C1" s="2"/>
      <c r="D1" s="2"/>
      <c r="E1" s="2"/>
      <c r="F1" s="2"/>
      <c r="G1" s="2"/>
    </row>
    <row r="2" spans="1:12">
      <c r="A2" s="2"/>
      <c r="B2" s="2"/>
      <c r="C2" s="2"/>
      <c r="D2" s="2"/>
      <c r="E2" s="2"/>
      <c r="F2" s="2"/>
      <c r="G2" s="2"/>
    </row>
    <row r="3" spans="1:12" ht="18" customHeight="1">
      <c r="A3" s="4"/>
      <c r="B3" s="5"/>
      <c r="C3" s="5"/>
      <c r="D3" s="6" t="s">
        <v>1</v>
      </c>
      <c r="E3" s="7"/>
      <c r="F3" s="6" t="s">
        <v>2</v>
      </c>
      <c r="G3" s="7"/>
    </row>
    <row r="4" spans="1:12" ht="18" customHeight="1">
      <c r="A4" s="4" t="s">
        <v>3</v>
      </c>
      <c r="B4" s="5"/>
      <c r="C4" s="8"/>
      <c r="D4" s="9">
        <v>218</v>
      </c>
      <c r="E4" s="10"/>
      <c r="F4" s="9">
        <f>SUM(F5:F6)</f>
        <v>252</v>
      </c>
      <c r="G4" s="10"/>
      <c r="I4" s="11"/>
    </row>
    <row r="5" spans="1:12" ht="18" customHeight="1">
      <c r="A5" s="12" t="s">
        <v>4</v>
      </c>
      <c r="B5" s="9" t="s">
        <v>5</v>
      </c>
      <c r="C5" s="10"/>
      <c r="D5" s="9">
        <v>189</v>
      </c>
      <c r="E5" s="13">
        <f>IF(D4=0,0,D5/D4)</f>
        <v>0.8669724770642202</v>
      </c>
      <c r="F5" s="9">
        <v>212</v>
      </c>
      <c r="G5" s="13">
        <f>F5/F4</f>
        <v>0.84126984126984128</v>
      </c>
      <c r="I5" s="11"/>
    </row>
    <row r="6" spans="1:12" ht="18" customHeight="1">
      <c r="A6" s="12"/>
      <c r="B6" s="9" t="s">
        <v>6</v>
      </c>
      <c r="C6" s="10"/>
      <c r="D6" s="9">
        <v>29</v>
      </c>
      <c r="E6" s="13">
        <f>IF(D4=0,0,D6/D4)</f>
        <v>0.13302752293577982</v>
      </c>
      <c r="F6" s="9">
        <v>40</v>
      </c>
      <c r="G6" s="13">
        <f>F6/F4</f>
        <v>0.15873015873015872</v>
      </c>
      <c r="I6" s="11"/>
    </row>
    <row r="7" spans="1:12" ht="18" customHeight="1">
      <c r="A7" s="12" t="s">
        <v>7</v>
      </c>
      <c r="B7" s="9"/>
      <c r="C7" s="10"/>
      <c r="D7" s="9">
        <v>10</v>
      </c>
      <c r="E7" s="10"/>
      <c r="F7" s="9">
        <v>8</v>
      </c>
      <c r="G7" s="10"/>
      <c r="I7" s="11"/>
      <c r="L7" s="14"/>
    </row>
    <row r="8" spans="1:12" ht="18" customHeight="1">
      <c r="A8" s="12" t="s">
        <v>8</v>
      </c>
      <c r="B8" s="9"/>
      <c r="C8" s="10"/>
      <c r="D8" s="15">
        <v>8032475</v>
      </c>
      <c r="E8" s="10"/>
      <c r="F8" s="15">
        <f>SUM(F9:F10)</f>
        <v>7806311</v>
      </c>
      <c r="G8" s="10"/>
      <c r="I8" s="16"/>
      <c r="J8" s="17"/>
    </row>
    <row r="9" spans="1:12" ht="18" customHeight="1">
      <c r="A9" s="12" t="s">
        <v>4</v>
      </c>
      <c r="B9" s="9" t="s">
        <v>9</v>
      </c>
      <c r="C9" s="18"/>
      <c r="D9" s="15">
        <v>7226992</v>
      </c>
      <c r="E9" s="19">
        <f>IF($D$8=0,0,D9/$D$8)</f>
        <v>0.89972169225550036</v>
      </c>
      <c r="F9" s="15">
        <v>6961992</v>
      </c>
      <c r="G9" s="19">
        <f>F9/F8</f>
        <v>0.89184148569023192</v>
      </c>
      <c r="I9" s="16"/>
      <c r="J9" s="17"/>
      <c r="L9" s="20"/>
    </row>
    <row r="10" spans="1:12" ht="18" customHeight="1">
      <c r="A10" s="12"/>
      <c r="B10" s="9" t="s">
        <v>10</v>
      </c>
      <c r="C10" s="18"/>
      <c r="D10" s="15">
        <v>805483</v>
      </c>
      <c r="E10" s="19">
        <f>IF($D$8=0,0,D10/$D$8)</f>
        <v>0.10027830774449967</v>
      </c>
      <c r="F10" s="15">
        <v>844319</v>
      </c>
      <c r="G10" s="19">
        <f>F10/F8</f>
        <v>0.10815851430976808</v>
      </c>
      <c r="I10" s="16"/>
      <c r="J10" s="17"/>
      <c r="L10" s="20"/>
    </row>
    <row r="11" spans="1:12" ht="18" customHeight="1">
      <c r="A11" s="12" t="s">
        <v>11</v>
      </c>
      <c r="B11" s="9"/>
      <c r="C11" s="18"/>
      <c r="D11" s="15">
        <v>732598</v>
      </c>
      <c r="E11" s="19">
        <f>IF($D$8=0,0,D11/$D$8)</f>
        <v>9.1204516665162355E-2</v>
      </c>
      <c r="F11" s="15">
        <f>605013+17221</f>
        <v>622234</v>
      </c>
      <c r="G11" s="19">
        <f>F11/F8</f>
        <v>7.970909690889845E-2</v>
      </c>
      <c r="I11" s="16"/>
      <c r="J11" s="17"/>
      <c r="L11" s="20"/>
    </row>
    <row r="12" spans="1:12" ht="18" customHeight="1">
      <c r="A12" s="12" t="s">
        <v>12</v>
      </c>
      <c r="B12" s="9"/>
      <c r="C12" s="10"/>
      <c r="D12" s="15">
        <f>IF(D4=0,0,D8/D4)</f>
        <v>36846.215596330272</v>
      </c>
      <c r="E12" s="10"/>
      <c r="F12" s="15">
        <f>IF(F4=0,0,F8/F4)</f>
        <v>30977.424603174604</v>
      </c>
      <c r="G12" s="10"/>
      <c r="I12" s="16"/>
      <c r="J12" s="17"/>
      <c r="L12" s="20"/>
    </row>
    <row r="13" spans="1:12" ht="18" customHeight="1">
      <c r="A13" s="12" t="s">
        <v>13</v>
      </c>
      <c r="B13" s="9"/>
      <c r="C13" s="10"/>
      <c r="D13" s="15">
        <v>415469</v>
      </c>
      <c r="E13" s="10"/>
      <c r="F13" s="15">
        <v>405688</v>
      </c>
      <c r="G13" s="10"/>
      <c r="I13" s="16"/>
      <c r="J13" s="17"/>
      <c r="L13" s="20"/>
    </row>
    <row r="14" spans="1:12" ht="18" customHeight="1">
      <c r="A14" s="12" t="s">
        <v>12</v>
      </c>
      <c r="B14" s="9"/>
      <c r="C14" s="10"/>
      <c r="D14" s="15">
        <f>D13/D7</f>
        <v>41546.9</v>
      </c>
      <c r="E14" s="10"/>
      <c r="F14" s="15">
        <f>F13/F7</f>
        <v>50711</v>
      </c>
      <c r="G14" s="10"/>
      <c r="I14" s="16"/>
      <c r="J14" s="17"/>
    </row>
    <row r="15" spans="1:12" ht="18" customHeight="1">
      <c r="A15" s="12" t="s">
        <v>14</v>
      </c>
      <c r="B15" s="9"/>
      <c r="C15" s="10"/>
      <c r="D15" s="15">
        <f>SUM(D8,D13)</f>
        <v>8447944</v>
      </c>
      <c r="E15" s="10"/>
      <c r="F15" s="15">
        <f>SUM(F8,F13)</f>
        <v>8211999</v>
      </c>
      <c r="G15" s="10"/>
      <c r="I15" s="16"/>
      <c r="J15" s="17"/>
    </row>
    <row r="16" spans="1:12" ht="18" customHeight="1">
      <c r="A16" s="21" t="s">
        <v>12</v>
      </c>
      <c r="B16" s="22"/>
      <c r="C16" s="23"/>
      <c r="D16" s="24">
        <f>IF(D4=0,0,D15/D4)</f>
        <v>38752.036697247706</v>
      </c>
      <c r="E16" s="23"/>
      <c r="F16" s="24">
        <f>IF(F4=0,0,F15/F4)</f>
        <v>32587.297619047618</v>
      </c>
      <c r="G16" s="23"/>
      <c r="I16" s="16"/>
      <c r="J16" s="17"/>
    </row>
    <row r="17" spans="1:7">
      <c r="A17" s="1248" t="s">
        <v>15</v>
      </c>
      <c r="B17" s="1248"/>
      <c r="C17" s="1248"/>
      <c r="D17" s="1248"/>
      <c r="E17" s="1248"/>
      <c r="F17" s="1248"/>
      <c r="G17" s="1248"/>
    </row>
  </sheetData>
  <mergeCells count="1">
    <mergeCell ref="A17:G17"/>
  </mergeCells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/>
  </sheetViews>
  <sheetFormatPr baseColWidth="10" defaultColWidth="9.7109375" defaultRowHeight="12.75"/>
  <cols>
    <col min="1" max="1" width="11" style="645" customWidth="1"/>
    <col min="2" max="2" width="8.28515625" style="645" customWidth="1"/>
    <col min="3" max="5" width="7.28515625" style="645" customWidth="1"/>
    <col min="6" max="6" width="10.28515625" style="645" customWidth="1"/>
    <col min="7" max="7" width="9.28515625" style="645" customWidth="1"/>
    <col min="8" max="8" width="7.28515625" style="645" customWidth="1"/>
    <col min="9" max="9" width="10.28515625" style="645" customWidth="1"/>
    <col min="10" max="10" width="7.28515625" style="645" customWidth="1"/>
    <col min="11" max="11" width="9.28515625" style="645" customWidth="1"/>
    <col min="12" max="244" width="9.7109375" style="645"/>
    <col min="245" max="245" width="11" style="645" customWidth="1"/>
    <col min="246" max="246" width="8.28515625" style="645" customWidth="1"/>
    <col min="247" max="249" width="7.28515625" style="645" customWidth="1"/>
    <col min="250" max="250" width="10.28515625" style="645" customWidth="1"/>
    <col min="251" max="251" width="9.28515625" style="645" customWidth="1"/>
    <col min="252" max="252" width="7.28515625" style="645" customWidth="1"/>
    <col min="253" max="253" width="10.28515625" style="645" customWidth="1"/>
    <col min="254" max="254" width="7.28515625" style="645" customWidth="1"/>
    <col min="255" max="255" width="9.28515625" style="645" customWidth="1"/>
    <col min="256" max="500" width="9.7109375" style="645"/>
    <col min="501" max="501" width="11" style="645" customWidth="1"/>
    <col min="502" max="502" width="8.28515625" style="645" customWidth="1"/>
    <col min="503" max="505" width="7.28515625" style="645" customWidth="1"/>
    <col min="506" max="506" width="10.28515625" style="645" customWidth="1"/>
    <col min="507" max="507" width="9.28515625" style="645" customWidth="1"/>
    <col min="508" max="508" width="7.28515625" style="645" customWidth="1"/>
    <col min="509" max="509" width="10.28515625" style="645" customWidth="1"/>
    <col min="510" max="510" width="7.28515625" style="645" customWidth="1"/>
    <col min="511" max="511" width="9.28515625" style="645" customWidth="1"/>
    <col min="512" max="756" width="9.7109375" style="645"/>
    <col min="757" max="757" width="11" style="645" customWidth="1"/>
    <col min="758" max="758" width="8.28515625" style="645" customWidth="1"/>
    <col min="759" max="761" width="7.28515625" style="645" customWidth="1"/>
    <col min="762" max="762" width="10.28515625" style="645" customWidth="1"/>
    <col min="763" max="763" width="9.28515625" style="645" customWidth="1"/>
    <col min="764" max="764" width="7.28515625" style="645" customWidth="1"/>
    <col min="765" max="765" width="10.28515625" style="645" customWidth="1"/>
    <col min="766" max="766" width="7.28515625" style="645" customWidth="1"/>
    <col min="767" max="767" width="9.28515625" style="645" customWidth="1"/>
    <col min="768" max="1012" width="9.7109375" style="645"/>
    <col min="1013" max="1013" width="11" style="645" customWidth="1"/>
    <col min="1014" max="1014" width="8.28515625" style="645" customWidth="1"/>
    <col min="1015" max="1017" width="7.28515625" style="645" customWidth="1"/>
    <col min="1018" max="1018" width="10.28515625" style="645" customWidth="1"/>
    <col min="1019" max="1019" width="9.28515625" style="645" customWidth="1"/>
    <col min="1020" max="1020" width="7.28515625" style="645" customWidth="1"/>
    <col min="1021" max="1021" width="10.28515625" style="645" customWidth="1"/>
    <col min="1022" max="1022" width="7.28515625" style="645" customWidth="1"/>
    <col min="1023" max="1023" width="9.28515625" style="645" customWidth="1"/>
    <col min="1024" max="1268" width="9.7109375" style="645"/>
    <col min="1269" max="1269" width="11" style="645" customWidth="1"/>
    <col min="1270" max="1270" width="8.28515625" style="645" customWidth="1"/>
    <col min="1271" max="1273" width="7.28515625" style="645" customWidth="1"/>
    <col min="1274" max="1274" width="10.28515625" style="645" customWidth="1"/>
    <col min="1275" max="1275" width="9.28515625" style="645" customWidth="1"/>
    <col min="1276" max="1276" width="7.28515625" style="645" customWidth="1"/>
    <col min="1277" max="1277" width="10.28515625" style="645" customWidth="1"/>
    <col min="1278" max="1278" width="7.28515625" style="645" customWidth="1"/>
    <col min="1279" max="1279" width="9.28515625" style="645" customWidth="1"/>
    <col min="1280" max="1524" width="9.7109375" style="645"/>
    <col min="1525" max="1525" width="11" style="645" customWidth="1"/>
    <col min="1526" max="1526" width="8.28515625" style="645" customWidth="1"/>
    <col min="1527" max="1529" width="7.28515625" style="645" customWidth="1"/>
    <col min="1530" max="1530" width="10.28515625" style="645" customWidth="1"/>
    <col min="1531" max="1531" width="9.28515625" style="645" customWidth="1"/>
    <col min="1532" max="1532" width="7.28515625" style="645" customWidth="1"/>
    <col min="1533" max="1533" width="10.28515625" style="645" customWidth="1"/>
    <col min="1534" max="1534" width="7.28515625" style="645" customWidth="1"/>
    <col min="1535" max="1535" width="9.28515625" style="645" customWidth="1"/>
    <col min="1536" max="1780" width="9.7109375" style="645"/>
    <col min="1781" max="1781" width="11" style="645" customWidth="1"/>
    <col min="1782" max="1782" width="8.28515625" style="645" customWidth="1"/>
    <col min="1783" max="1785" width="7.28515625" style="645" customWidth="1"/>
    <col min="1786" max="1786" width="10.28515625" style="645" customWidth="1"/>
    <col min="1787" max="1787" width="9.28515625" style="645" customWidth="1"/>
    <col min="1788" max="1788" width="7.28515625" style="645" customWidth="1"/>
    <col min="1789" max="1789" width="10.28515625" style="645" customWidth="1"/>
    <col min="1790" max="1790" width="7.28515625" style="645" customWidth="1"/>
    <col min="1791" max="1791" width="9.28515625" style="645" customWidth="1"/>
    <col min="1792" max="2036" width="9.7109375" style="645"/>
    <col min="2037" max="2037" width="11" style="645" customWidth="1"/>
    <col min="2038" max="2038" width="8.28515625" style="645" customWidth="1"/>
    <col min="2039" max="2041" width="7.28515625" style="645" customWidth="1"/>
    <col min="2042" max="2042" width="10.28515625" style="645" customWidth="1"/>
    <col min="2043" max="2043" width="9.28515625" style="645" customWidth="1"/>
    <col min="2044" max="2044" width="7.28515625" style="645" customWidth="1"/>
    <col min="2045" max="2045" width="10.28515625" style="645" customWidth="1"/>
    <col min="2046" max="2046" width="7.28515625" style="645" customWidth="1"/>
    <col min="2047" max="2047" width="9.28515625" style="645" customWidth="1"/>
    <col min="2048" max="2292" width="9.7109375" style="645"/>
    <col min="2293" max="2293" width="11" style="645" customWidth="1"/>
    <col min="2294" max="2294" width="8.28515625" style="645" customWidth="1"/>
    <col min="2295" max="2297" width="7.28515625" style="645" customWidth="1"/>
    <col min="2298" max="2298" width="10.28515625" style="645" customWidth="1"/>
    <col min="2299" max="2299" width="9.28515625" style="645" customWidth="1"/>
    <col min="2300" max="2300" width="7.28515625" style="645" customWidth="1"/>
    <col min="2301" max="2301" width="10.28515625" style="645" customWidth="1"/>
    <col min="2302" max="2302" width="7.28515625" style="645" customWidth="1"/>
    <col min="2303" max="2303" width="9.28515625" style="645" customWidth="1"/>
    <col min="2304" max="2548" width="9.7109375" style="645"/>
    <col min="2549" max="2549" width="11" style="645" customWidth="1"/>
    <col min="2550" max="2550" width="8.28515625" style="645" customWidth="1"/>
    <col min="2551" max="2553" width="7.28515625" style="645" customWidth="1"/>
    <col min="2554" max="2554" width="10.28515625" style="645" customWidth="1"/>
    <col min="2555" max="2555" width="9.28515625" style="645" customWidth="1"/>
    <col min="2556" max="2556" width="7.28515625" style="645" customWidth="1"/>
    <col min="2557" max="2557" width="10.28515625" style="645" customWidth="1"/>
    <col min="2558" max="2558" width="7.28515625" style="645" customWidth="1"/>
    <col min="2559" max="2559" width="9.28515625" style="645" customWidth="1"/>
    <col min="2560" max="2804" width="9.7109375" style="645"/>
    <col min="2805" max="2805" width="11" style="645" customWidth="1"/>
    <col min="2806" max="2806" width="8.28515625" style="645" customWidth="1"/>
    <col min="2807" max="2809" width="7.28515625" style="645" customWidth="1"/>
    <col min="2810" max="2810" width="10.28515625" style="645" customWidth="1"/>
    <col min="2811" max="2811" width="9.28515625" style="645" customWidth="1"/>
    <col min="2812" max="2812" width="7.28515625" style="645" customWidth="1"/>
    <col min="2813" max="2813" width="10.28515625" style="645" customWidth="1"/>
    <col min="2814" max="2814" width="7.28515625" style="645" customWidth="1"/>
    <col min="2815" max="2815" width="9.28515625" style="645" customWidth="1"/>
    <col min="2816" max="3060" width="9.7109375" style="645"/>
    <col min="3061" max="3061" width="11" style="645" customWidth="1"/>
    <col min="3062" max="3062" width="8.28515625" style="645" customWidth="1"/>
    <col min="3063" max="3065" width="7.28515625" style="645" customWidth="1"/>
    <col min="3066" max="3066" width="10.28515625" style="645" customWidth="1"/>
    <col min="3067" max="3067" width="9.28515625" style="645" customWidth="1"/>
    <col min="3068" max="3068" width="7.28515625" style="645" customWidth="1"/>
    <col min="3069" max="3069" width="10.28515625" style="645" customWidth="1"/>
    <col min="3070" max="3070" width="7.28515625" style="645" customWidth="1"/>
    <col min="3071" max="3071" width="9.28515625" style="645" customWidth="1"/>
    <col min="3072" max="3316" width="9.7109375" style="645"/>
    <col min="3317" max="3317" width="11" style="645" customWidth="1"/>
    <col min="3318" max="3318" width="8.28515625" style="645" customWidth="1"/>
    <col min="3319" max="3321" width="7.28515625" style="645" customWidth="1"/>
    <col min="3322" max="3322" width="10.28515625" style="645" customWidth="1"/>
    <col min="3323" max="3323" width="9.28515625" style="645" customWidth="1"/>
    <col min="3324" max="3324" width="7.28515625" style="645" customWidth="1"/>
    <col min="3325" max="3325" width="10.28515625" style="645" customWidth="1"/>
    <col min="3326" max="3326" width="7.28515625" style="645" customWidth="1"/>
    <col min="3327" max="3327" width="9.28515625" style="645" customWidth="1"/>
    <col min="3328" max="3572" width="9.7109375" style="645"/>
    <col min="3573" max="3573" width="11" style="645" customWidth="1"/>
    <col min="3574" max="3574" width="8.28515625" style="645" customWidth="1"/>
    <col min="3575" max="3577" width="7.28515625" style="645" customWidth="1"/>
    <col min="3578" max="3578" width="10.28515625" style="645" customWidth="1"/>
    <col min="3579" max="3579" width="9.28515625" style="645" customWidth="1"/>
    <col min="3580" max="3580" width="7.28515625" style="645" customWidth="1"/>
    <col min="3581" max="3581" width="10.28515625" style="645" customWidth="1"/>
    <col min="3582" max="3582" width="7.28515625" style="645" customWidth="1"/>
    <col min="3583" max="3583" width="9.28515625" style="645" customWidth="1"/>
    <col min="3584" max="3828" width="9.7109375" style="645"/>
    <col min="3829" max="3829" width="11" style="645" customWidth="1"/>
    <col min="3830" max="3830" width="8.28515625" style="645" customWidth="1"/>
    <col min="3831" max="3833" width="7.28515625" style="645" customWidth="1"/>
    <col min="3834" max="3834" width="10.28515625" style="645" customWidth="1"/>
    <col min="3835" max="3835" width="9.28515625" style="645" customWidth="1"/>
    <col min="3836" max="3836" width="7.28515625" style="645" customWidth="1"/>
    <col min="3837" max="3837" width="10.28515625" style="645" customWidth="1"/>
    <col min="3838" max="3838" width="7.28515625" style="645" customWidth="1"/>
    <col min="3839" max="3839" width="9.28515625" style="645" customWidth="1"/>
    <col min="3840" max="4084" width="9.7109375" style="645"/>
    <col min="4085" max="4085" width="11" style="645" customWidth="1"/>
    <col min="4086" max="4086" width="8.28515625" style="645" customWidth="1"/>
    <col min="4087" max="4089" width="7.28515625" style="645" customWidth="1"/>
    <col min="4090" max="4090" width="10.28515625" style="645" customWidth="1"/>
    <col min="4091" max="4091" width="9.28515625" style="645" customWidth="1"/>
    <col min="4092" max="4092" width="7.28515625" style="645" customWidth="1"/>
    <col min="4093" max="4093" width="10.28515625" style="645" customWidth="1"/>
    <col min="4094" max="4094" width="7.28515625" style="645" customWidth="1"/>
    <col min="4095" max="4095" width="9.28515625" style="645" customWidth="1"/>
    <col min="4096" max="4340" width="9.7109375" style="645"/>
    <col min="4341" max="4341" width="11" style="645" customWidth="1"/>
    <col min="4342" max="4342" width="8.28515625" style="645" customWidth="1"/>
    <col min="4343" max="4345" width="7.28515625" style="645" customWidth="1"/>
    <col min="4346" max="4346" width="10.28515625" style="645" customWidth="1"/>
    <col min="4347" max="4347" width="9.28515625" style="645" customWidth="1"/>
    <col min="4348" max="4348" width="7.28515625" style="645" customWidth="1"/>
    <col min="4349" max="4349" width="10.28515625" style="645" customWidth="1"/>
    <col min="4350" max="4350" width="7.28515625" style="645" customWidth="1"/>
    <col min="4351" max="4351" width="9.28515625" style="645" customWidth="1"/>
    <col min="4352" max="4596" width="9.7109375" style="645"/>
    <col min="4597" max="4597" width="11" style="645" customWidth="1"/>
    <col min="4598" max="4598" width="8.28515625" style="645" customWidth="1"/>
    <col min="4599" max="4601" width="7.28515625" style="645" customWidth="1"/>
    <col min="4602" max="4602" width="10.28515625" style="645" customWidth="1"/>
    <col min="4603" max="4603" width="9.28515625" style="645" customWidth="1"/>
    <col min="4604" max="4604" width="7.28515625" style="645" customWidth="1"/>
    <col min="4605" max="4605" width="10.28515625" style="645" customWidth="1"/>
    <col min="4606" max="4606" width="7.28515625" style="645" customWidth="1"/>
    <col min="4607" max="4607" width="9.28515625" style="645" customWidth="1"/>
    <col min="4608" max="4852" width="9.7109375" style="645"/>
    <col min="4853" max="4853" width="11" style="645" customWidth="1"/>
    <col min="4854" max="4854" width="8.28515625" style="645" customWidth="1"/>
    <col min="4855" max="4857" width="7.28515625" style="645" customWidth="1"/>
    <col min="4858" max="4858" width="10.28515625" style="645" customWidth="1"/>
    <col min="4859" max="4859" width="9.28515625" style="645" customWidth="1"/>
    <col min="4860" max="4860" width="7.28515625" style="645" customWidth="1"/>
    <col min="4861" max="4861" width="10.28515625" style="645" customWidth="1"/>
    <col min="4862" max="4862" width="7.28515625" style="645" customWidth="1"/>
    <col min="4863" max="4863" width="9.28515625" style="645" customWidth="1"/>
    <col min="4864" max="5108" width="9.7109375" style="645"/>
    <col min="5109" max="5109" width="11" style="645" customWidth="1"/>
    <col min="5110" max="5110" width="8.28515625" style="645" customWidth="1"/>
    <col min="5111" max="5113" width="7.28515625" style="645" customWidth="1"/>
    <col min="5114" max="5114" width="10.28515625" style="645" customWidth="1"/>
    <col min="5115" max="5115" width="9.28515625" style="645" customWidth="1"/>
    <col min="5116" max="5116" width="7.28515625" style="645" customWidth="1"/>
    <col min="5117" max="5117" width="10.28515625" style="645" customWidth="1"/>
    <col min="5118" max="5118" width="7.28515625" style="645" customWidth="1"/>
    <col min="5119" max="5119" width="9.28515625" style="645" customWidth="1"/>
    <col min="5120" max="5364" width="9.7109375" style="645"/>
    <col min="5365" max="5365" width="11" style="645" customWidth="1"/>
    <col min="5366" max="5366" width="8.28515625" style="645" customWidth="1"/>
    <col min="5367" max="5369" width="7.28515625" style="645" customWidth="1"/>
    <col min="5370" max="5370" width="10.28515625" style="645" customWidth="1"/>
    <col min="5371" max="5371" width="9.28515625" style="645" customWidth="1"/>
    <col min="5372" max="5372" width="7.28515625" style="645" customWidth="1"/>
    <col min="5373" max="5373" width="10.28515625" style="645" customWidth="1"/>
    <col min="5374" max="5374" width="7.28515625" style="645" customWidth="1"/>
    <col min="5375" max="5375" width="9.28515625" style="645" customWidth="1"/>
    <col min="5376" max="5620" width="9.7109375" style="645"/>
    <col min="5621" max="5621" width="11" style="645" customWidth="1"/>
    <col min="5622" max="5622" width="8.28515625" style="645" customWidth="1"/>
    <col min="5623" max="5625" width="7.28515625" style="645" customWidth="1"/>
    <col min="5626" max="5626" width="10.28515625" style="645" customWidth="1"/>
    <col min="5627" max="5627" width="9.28515625" style="645" customWidth="1"/>
    <col min="5628" max="5628" width="7.28515625" style="645" customWidth="1"/>
    <col min="5629" max="5629" width="10.28515625" style="645" customWidth="1"/>
    <col min="5630" max="5630" width="7.28515625" style="645" customWidth="1"/>
    <col min="5631" max="5631" width="9.28515625" style="645" customWidth="1"/>
    <col min="5632" max="5876" width="9.7109375" style="645"/>
    <col min="5877" max="5877" width="11" style="645" customWidth="1"/>
    <col min="5878" max="5878" width="8.28515625" style="645" customWidth="1"/>
    <col min="5879" max="5881" width="7.28515625" style="645" customWidth="1"/>
    <col min="5882" max="5882" width="10.28515625" style="645" customWidth="1"/>
    <col min="5883" max="5883" width="9.28515625" style="645" customWidth="1"/>
    <col min="5884" max="5884" width="7.28515625" style="645" customWidth="1"/>
    <col min="5885" max="5885" width="10.28515625" style="645" customWidth="1"/>
    <col min="5886" max="5886" width="7.28515625" style="645" customWidth="1"/>
    <col min="5887" max="5887" width="9.28515625" style="645" customWidth="1"/>
    <col min="5888" max="6132" width="9.7109375" style="645"/>
    <col min="6133" max="6133" width="11" style="645" customWidth="1"/>
    <col min="6134" max="6134" width="8.28515625" style="645" customWidth="1"/>
    <col min="6135" max="6137" width="7.28515625" style="645" customWidth="1"/>
    <col min="6138" max="6138" width="10.28515625" style="645" customWidth="1"/>
    <col min="6139" max="6139" width="9.28515625" style="645" customWidth="1"/>
    <col min="6140" max="6140" width="7.28515625" style="645" customWidth="1"/>
    <col min="6141" max="6141" width="10.28515625" style="645" customWidth="1"/>
    <col min="6142" max="6142" width="7.28515625" style="645" customWidth="1"/>
    <col min="6143" max="6143" width="9.28515625" style="645" customWidth="1"/>
    <col min="6144" max="6388" width="9.7109375" style="645"/>
    <col min="6389" max="6389" width="11" style="645" customWidth="1"/>
    <col min="6390" max="6390" width="8.28515625" style="645" customWidth="1"/>
    <col min="6391" max="6393" width="7.28515625" style="645" customWidth="1"/>
    <col min="6394" max="6394" width="10.28515625" style="645" customWidth="1"/>
    <col min="6395" max="6395" width="9.28515625" style="645" customWidth="1"/>
    <col min="6396" max="6396" width="7.28515625" style="645" customWidth="1"/>
    <col min="6397" max="6397" width="10.28515625" style="645" customWidth="1"/>
    <col min="6398" max="6398" width="7.28515625" style="645" customWidth="1"/>
    <col min="6399" max="6399" width="9.28515625" style="645" customWidth="1"/>
    <col min="6400" max="6644" width="9.7109375" style="645"/>
    <col min="6645" max="6645" width="11" style="645" customWidth="1"/>
    <col min="6646" max="6646" width="8.28515625" style="645" customWidth="1"/>
    <col min="6647" max="6649" width="7.28515625" style="645" customWidth="1"/>
    <col min="6650" max="6650" width="10.28515625" style="645" customWidth="1"/>
    <col min="6651" max="6651" width="9.28515625" style="645" customWidth="1"/>
    <col min="6652" max="6652" width="7.28515625" style="645" customWidth="1"/>
    <col min="6653" max="6653" width="10.28515625" style="645" customWidth="1"/>
    <col min="6654" max="6654" width="7.28515625" style="645" customWidth="1"/>
    <col min="6655" max="6655" width="9.28515625" style="645" customWidth="1"/>
    <col min="6656" max="6900" width="9.7109375" style="645"/>
    <col min="6901" max="6901" width="11" style="645" customWidth="1"/>
    <col min="6902" max="6902" width="8.28515625" style="645" customWidth="1"/>
    <col min="6903" max="6905" width="7.28515625" style="645" customWidth="1"/>
    <col min="6906" max="6906" width="10.28515625" style="645" customWidth="1"/>
    <col min="6907" max="6907" width="9.28515625" style="645" customWidth="1"/>
    <col min="6908" max="6908" width="7.28515625" style="645" customWidth="1"/>
    <col min="6909" max="6909" width="10.28515625" style="645" customWidth="1"/>
    <col min="6910" max="6910" width="7.28515625" style="645" customWidth="1"/>
    <col min="6911" max="6911" width="9.28515625" style="645" customWidth="1"/>
    <col min="6912" max="7156" width="9.7109375" style="645"/>
    <col min="7157" max="7157" width="11" style="645" customWidth="1"/>
    <col min="7158" max="7158" width="8.28515625" style="645" customWidth="1"/>
    <col min="7159" max="7161" width="7.28515625" style="645" customWidth="1"/>
    <col min="7162" max="7162" width="10.28515625" style="645" customWidth="1"/>
    <col min="7163" max="7163" width="9.28515625" style="645" customWidth="1"/>
    <col min="7164" max="7164" width="7.28515625" style="645" customWidth="1"/>
    <col min="7165" max="7165" width="10.28515625" style="645" customWidth="1"/>
    <col min="7166" max="7166" width="7.28515625" style="645" customWidth="1"/>
    <col min="7167" max="7167" width="9.28515625" style="645" customWidth="1"/>
    <col min="7168" max="7412" width="9.7109375" style="645"/>
    <col min="7413" max="7413" width="11" style="645" customWidth="1"/>
    <col min="7414" max="7414" width="8.28515625" style="645" customWidth="1"/>
    <col min="7415" max="7417" width="7.28515625" style="645" customWidth="1"/>
    <col min="7418" max="7418" width="10.28515625" style="645" customWidth="1"/>
    <col min="7419" max="7419" width="9.28515625" style="645" customWidth="1"/>
    <col min="7420" max="7420" width="7.28515625" style="645" customWidth="1"/>
    <col min="7421" max="7421" width="10.28515625" style="645" customWidth="1"/>
    <col min="7422" max="7422" width="7.28515625" style="645" customWidth="1"/>
    <col min="7423" max="7423" width="9.28515625" style="645" customWidth="1"/>
    <col min="7424" max="7668" width="9.7109375" style="645"/>
    <col min="7669" max="7669" width="11" style="645" customWidth="1"/>
    <col min="7670" max="7670" width="8.28515625" style="645" customWidth="1"/>
    <col min="7671" max="7673" width="7.28515625" style="645" customWidth="1"/>
    <col min="7674" max="7674" width="10.28515625" style="645" customWidth="1"/>
    <col min="7675" max="7675" width="9.28515625" style="645" customWidth="1"/>
    <col min="7676" max="7676" width="7.28515625" style="645" customWidth="1"/>
    <col min="7677" max="7677" width="10.28515625" style="645" customWidth="1"/>
    <col min="7678" max="7678" width="7.28515625" style="645" customWidth="1"/>
    <col min="7679" max="7679" width="9.28515625" style="645" customWidth="1"/>
    <col min="7680" max="7924" width="9.7109375" style="645"/>
    <col min="7925" max="7925" width="11" style="645" customWidth="1"/>
    <col min="7926" max="7926" width="8.28515625" style="645" customWidth="1"/>
    <col min="7927" max="7929" width="7.28515625" style="645" customWidth="1"/>
    <col min="7930" max="7930" width="10.28515625" style="645" customWidth="1"/>
    <col min="7931" max="7931" width="9.28515625" style="645" customWidth="1"/>
    <col min="7932" max="7932" width="7.28515625" style="645" customWidth="1"/>
    <col min="7933" max="7933" width="10.28515625" style="645" customWidth="1"/>
    <col min="7934" max="7934" width="7.28515625" style="645" customWidth="1"/>
    <col min="7935" max="7935" width="9.28515625" style="645" customWidth="1"/>
    <col min="7936" max="8180" width="9.7109375" style="645"/>
    <col min="8181" max="8181" width="11" style="645" customWidth="1"/>
    <col min="8182" max="8182" width="8.28515625" style="645" customWidth="1"/>
    <col min="8183" max="8185" width="7.28515625" style="645" customWidth="1"/>
    <col min="8186" max="8186" width="10.28515625" style="645" customWidth="1"/>
    <col min="8187" max="8187" width="9.28515625" style="645" customWidth="1"/>
    <col min="8188" max="8188" width="7.28515625" style="645" customWidth="1"/>
    <col min="8189" max="8189" width="10.28515625" style="645" customWidth="1"/>
    <col min="8190" max="8190" width="7.28515625" style="645" customWidth="1"/>
    <col min="8191" max="8191" width="9.28515625" style="645" customWidth="1"/>
    <col min="8192" max="8436" width="9.7109375" style="645"/>
    <col min="8437" max="8437" width="11" style="645" customWidth="1"/>
    <col min="8438" max="8438" width="8.28515625" style="645" customWidth="1"/>
    <col min="8439" max="8441" width="7.28515625" style="645" customWidth="1"/>
    <col min="8442" max="8442" width="10.28515625" style="645" customWidth="1"/>
    <col min="8443" max="8443" width="9.28515625" style="645" customWidth="1"/>
    <col min="8444" max="8444" width="7.28515625" style="645" customWidth="1"/>
    <col min="8445" max="8445" width="10.28515625" style="645" customWidth="1"/>
    <col min="8446" max="8446" width="7.28515625" style="645" customWidth="1"/>
    <col min="8447" max="8447" width="9.28515625" style="645" customWidth="1"/>
    <col min="8448" max="8692" width="9.7109375" style="645"/>
    <col min="8693" max="8693" width="11" style="645" customWidth="1"/>
    <col min="8694" max="8694" width="8.28515625" style="645" customWidth="1"/>
    <col min="8695" max="8697" width="7.28515625" style="645" customWidth="1"/>
    <col min="8698" max="8698" width="10.28515625" style="645" customWidth="1"/>
    <col min="8699" max="8699" width="9.28515625" style="645" customWidth="1"/>
    <col min="8700" max="8700" width="7.28515625" style="645" customWidth="1"/>
    <col min="8701" max="8701" width="10.28515625" style="645" customWidth="1"/>
    <col min="8702" max="8702" width="7.28515625" style="645" customWidth="1"/>
    <col min="8703" max="8703" width="9.28515625" style="645" customWidth="1"/>
    <col min="8704" max="8948" width="9.7109375" style="645"/>
    <col min="8949" max="8949" width="11" style="645" customWidth="1"/>
    <col min="8950" max="8950" width="8.28515625" style="645" customWidth="1"/>
    <col min="8951" max="8953" width="7.28515625" style="645" customWidth="1"/>
    <col min="8954" max="8954" width="10.28515625" style="645" customWidth="1"/>
    <col min="8955" max="8955" width="9.28515625" style="645" customWidth="1"/>
    <col min="8956" max="8956" width="7.28515625" style="645" customWidth="1"/>
    <col min="8957" max="8957" width="10.28515625" style="645" customWidth="1"/>
    <col min="8958" max="8958" width="7.28515625" style="645" customWidth="1"/>
    <col min="8959" max="8959" width="9.28515625" style="645" customWidth="1"/>
    <col min="8960" max="9204" width="9.7109375" style="645"/>
    <col min="9205" max="9205" width="11" style="645" customWidth="1"/>
    <col min="9206" max="9206" width="8.28515625" style="645" customWidth="1"/>
    <col min="9207" max="9209" width="7.28515625" style="645" customWidth="1"/>
    <col min="9210" max="9210" width="10.28515625" style="645" customWidth="1"/>
    <col min="9211" max="9211" width="9.28515625" style="645" customWidth="1"/>
    <col min="9212" max="9212" width="7.28515625" style="645" customWidth="1"/>
    <col min="9213" max="9213" width="10.28515625" style="645" customWidth="1"/>
    <col min="9214" max="9214" width="7.28515625" style="645" customWidth="1"/>
    <col min="9215" max="9215" width="9.28515625" style="645" customWidth="1"/>
    <col min="9216" max="9460" width="9.7109375" style="645"/>
    <col min="9461" max="9461" width="11" style="645" customWidth="1"/>
    <col min="9462" max="9462" width="8.28515625" style="645" customWidth="1"/>
    <col min="9463" max="9465" width="7.28515625" style="645" customWidth="1"/>
    <col min="9466" max="9466" width="10.28515625" style="645" customWidth="1"/>
    <col min="9467" max="9467" width="9.28515625" style="645" customWidth="1"/>
    <col min="9468" max="9468" width="7.28515625" style="645" customWidth="1"/>
    <col min="9469" max="9469" width="10.28515625" style="645" customWidth="1"/>
    <col min="9470" max="9470" width="7.28515625" style="645" customWidth="1"/>
    <col min="9471" max="9471" width="9.28515625" style="645" customWidth="1"/>
    <col min="9472" max="9716" width="9.7109375" style="645"/>
    <col min="9717" max="9717" width="11" style="645" customWidth="1"/>
    <col min="9718" max="9718" width="8.28515625" style="645" customWidth="1"/>
    <col min="9719" max="9721" width="7.28515625" style="645" customWidth="1"/>
    <col min="9722" max="9722" width="10.28515625" style="645" customWidth="1"/>
    <col min="9723" max="9723" width="9.28515625" style="645" customWidth="1"/>
    <col min="9724" max="9724" width="7.28515625" style="645" customWidth="1"/>
    <col min="9725" max="9725" width="10.28515625" style="645" customWidth="1"/>
    <col min="9726" max="9726" width="7.28515625" style="645" customWidth="1"/>
    <col min="9727" max="9727" width="9.28515625" style="645" customWidth="1"/>
    <col min="9728" max="9972" width="9.7109375" style="645"/>
    <col min="9973" max="9973" width="11" style="645" customWidth="1"/>
    <col min="9974" max="9974" width="8.28515625" style="645" customWidth="1"/>
    <col min="9975" max="9977" width="7.28515625" style="645" customWidth="1"/>
    <col min="9978" max="9978" width="10.28515625" style="645" customWidth="1"/>
    <col min="9979" max="9979" width="9.28515625" style="645" customWidth="1"/>
    <col min="9980" max="9980" width="7.28515625" style="645" customWidth="1"/>
    <col min="9981" max="9981" width="10.28515625" style="645" customWidth="1"/>
    <col min="9982" max="9982" width="7.28515625" style="645" customWidth="1"/>
    <col min="9983" max="9983" width="9.28515625" style="645" customWidth="1"/>
    <col min="9984" max="10228" width="9.7109375" style="645"/>
    <col min="10229" max="10229" width="11" style="645" customWidth="1"/>
    <col min="10230" max="10230" width="8.28515625" style="645" customWidth="1"/>
    <col min="10231" max="10233" width="7.28515625" style="645" customWidth="1"/>
    <col min="10234" max="10234" width="10.28515625" style="645" customWidth="1"/>
    <col min="10235" max="10235" width="9.28515625" style="645" customWidth="1"/>
    <col min="10236" max="10236" width="7.28515625" style="645" customWidth="1"/>
    <col min="10237" max="10237" width="10.28515625" style="645" customWidth="1"/>
    <col min="10238" max="10238" width="7.28515625" style="645" customWidth="1"/>
    <col min="10239" max="10239" width="9.28515625" style="645" customWidth="1"/>
    <col min="10240" max="10484" width="9.7109375" style="645"/>
    <col min="10485" max="10485" width="11" style="645" customWidth="1"/>
    <col min="10486" max="10486" width="8.28515625" style="645" customWidth="1"/>
    <col min="10487" max="10489" width="7.28515625" style="645" customWidth="1"/>
    <col min="10490" max="10490" width="10.28515625" style="645" customWidth="1"/>
    <col min="10491" max="10491" width="9.28515625" style="645" customWidth="1"/>
    <col min="10492" max="10492" width="7.28515625" style="645" customWidth="1"/>
    <col min="10493" max="10493" width="10.28515625" style="645" customWidth="1"/>
    <col min="10494" max="10494" width="7.28515625" style="645" customWidth="1"/>
    <col min="10495" max="10495" width="9.28515625" style="645" customWidth="1"/>
    <col min="10496" max="10740" width="9.7109375" style="645"/>
    <col min="10741" max="10741" width="11" style="645" customWidth="1"/>
    <col min="10742" max="10742" width="8.28515625" style="645" customWidth="1"/>
    <col min="10743" max="10745" width="7.28515625" style="645" customWidth="1"/>
    <col min="10746" max="10746" width="10.28515625" style="645" customWidth="1"/>
    <col min="10747" max="10747" width="9.28515625" style="645" customWidth="1"/>
    <col min="10748" max="10748" width="7.28515625" style="645" customWidth="1"/>
    <col min="10749" max="10749" width="10.28515625" style="645" customWidth="1"/>
    <col min="10750" max="10750" width="7.28515625" style="645" customWidth="1"/>
    <col min="10751" max="10751" width="9.28515625" style="645" customWidth="1"/>
    <col min="10752" max="10996" width="9.7109375" style="645"/>
    <col min="10997" max="10997" width="11" style="645" customWidth="1"/>
    <col min="10998" max="10998" width="8.28515625" style="645" customWidth="1"/>
    <col min="10999" max="11001" width="7.28515625" style="645" customWidth="1"/>
    <col min="11002" max="11002" width="10.28515625" style="645" customWidth="1"/>
    <col min="11003" max="11003" width="9.28515625" style="645" customWidth="1"/>
    <col min="11004" max="11004" width="7.28515625" style="645" customWidth="1"/>
    <col min="11005" max="11005" width="10.28515625" style="645" customWidth="1"/>
    <col min="11006" max="11006" width="7.28515625" style="645" customWidth="1"/>
    <col min="11007" max="11007" width="9.28515625" style="645" customWidth="1"/>
    <col min="11008" max="11252" width="9.7109375" style="645"/>
    <col min="11253" max="11253" width="11" style="645" customWidth="1"/>
    <col min="11254" max="11254" width="8.28515625" style="645" customWidth="1"/>
    <col min="11255" max="11257" width="7.28515625" style="645" customWidth="1"/>
    <col min="11258" max="11258" width="10.28515625" style="645" customWidth="1"/>
    <col min="11259" max="11259" width="9.28515625" style="645" customWidth="1"/>
    <col min="11260" max="11260" width="7.28515625" style="645" customWidth="1"/>
    <col min="11261" max="11261" width="10.28515625" style="645" customWidth="1"/>
    <col min="11262" max="11262" width="7.28515625" style="645" customWidth="1"/>
    <col min="11263" max="11263" width="9.28515625" style="645" customWidth="1"/>
    <col min="11264" max="11508" width="9.7109375" style="645"/>
    <col min="11509" max="11509" width="11" style="645" customWidth="1"/>
    <col min="11510" max="11510" width="8.28515625" style="645" customWidth="1"/>
    <col min="11511" max="11513" width="7.28515625" style="645" customWidth="1"/>
    <col min="11514" max="11514" width="10.28515625" style="645" customWidth="1"/>
    <col min="11515" max="11515" width="9.28515625" style="645" customWidth="1"/>
    <col min="11516" max="11516" width="7.28515625" style="645" customWidth="1"/>
    <col min="11517" max="11517" width="10.28515625" style="645" customWidth="1"/>
    <col min="11518" max="11518" width="7.28515625" style="645" customWidth="1"/>
    <col min="11519" max="11519" width="9.28515625" style="645" customWidth="1"/>
    <col min="11520" max="11764" width="9.7109375" style="645"/>
    <col min="11765" max="11765" width="11" style="645" customWidth="1"/>
    <col min="11766" max="11766" width="8.28515625" style="645" customWidth="1"/>
    <col min="11767" max="11769" width="7.28515625" style="645" customWidth="1"/>
    <col min="11770" max="11770" width="10.28515625" style="645" customWidth="1"/>
    <col min="11771" max="11771" width="9.28515625" style="645" customWidth="1"/>
    <col min="11772" max="11772" width="7.28515625" style="645" customWidth="1"/>
    <col min="11773" max="11773" width="10.28515625" style="645" customWidth="1"/>
    <col min="11774" max="11774" width="7.28515625" style="645" customWidth="1"/>
    <col min="11775" max="11775" width="9.28515625" style="645" customWidth="1"/>
    <col min="11776" max="12020" width="9.7109375" style="645"/>
    <col min="12021" max="12021" width="11" style="645" customWidth="1"/>
    <col min="12022" max="12022" width="8.28515625" style="645" customWidth="1"/>
    <col min="12023" max="12025" width="7.28515625" style="645" customWidth="1"/>
    <col min="12026" max="12026" width="10.28515625" style="645" customWidth="1"/>
    <col min="12027" max="12027" width="9.28515625" style="645" customWidth="1"/>
    <col min="12028" max="12028" width="7.28515625" style="645" customWidth="1"/>
    <col min="12029" max="12029" width="10.28515625" style="645" customWidth="1"/>
    <col min="12030" max="12030" width="7.28515625" style="645" customWidth="1"/>
    <col min="12031" max="12031" width="9.28515625" style="645" customWidth="1"/>
    <col min="12032" max="12276" width="9.7109375" style="645"/>
    <col min="12277" max="12277" width="11" style="645" customWidth="1"/>
    <col min="12278" max="12278" width="8.28515625" style="645" customWidth="1"/>
    <col min="12279" max="12281" width="7.28515625" style="645" customWidth="1"/>
    <col min="12282" max="12282" width="10.28515625" style="645" customWidth="1"/>
    <col min="12283" max="12283" width="9.28515625" style="645" customWidth="1"/>
    <col min="12284" max="12284" width="7.28515625" style="645" customWidth="1"/>
    <col min="12285" max="12285" width="10.28515625" style="645" customWidth="1"/>
    <col min="12286" max="12286" width="7.28515625" style="645" customWidth="1"/>
    <col min="12287" max="12287" width="9.28515625" style="645" customWidth="1"/>
    <col min="12288" max="12532" width="9.7109375" style="645"/>
    <col min="12533" max="12533" width="11" style="645" customWidth="1"/>
    <col min="12534" max="12534" width="8.28515625" style="645" customWidth="1"/>
    <col min="12535" max="12537" width="7.28515625" style="645" customWidth="1"/>
    <col min="12538" max="12538" width="10.28515625" style="645" customWidth="1"/>
    <col min="12539" max="12539" width="9.28515625" style="645" customWidth="1"/>
    <col min="12540" max="12540" width="7.28515625" style="645" customWidth="1"/>
    <col min="12541" max="12541" width="10.28515625" style="645" customWidth="1"/>
    <col min="12542" max="12542" width="7.28515625" style="645" customWidth="1"/>
    <col min="12543" max="12543" width="9.28515625" style="645" customWidth="1"/>
    <col min="12544" max="12788" width="9.7109375" style="645"/>
    <col min="12789" max="12789" width="11" style="645" customWidth="1"/>
    <col min="12790" max="12790" width="8.28515625" style="645" customWidth="1"/>
    <col min="12791" max="12793" width="7.28515625" style="645" customWidth="1"/>
    <col min="12794" max="12794" width="10.28515625" style="645" customWidth="1"/>
    <col min="12795" max="12795" width="9.28515625" style="645" customWidth="1"/>
    <col min="12796" max="12796" width="7.28515625" style="645" customWidth="1"/>
    <col min="12797" max="12797" width="10.28515625" style="645" customWidth="1"/>
    <col min="12798" max="12798" width="7.28515625" style="645" customWidth="1"/>
    <col min="12799" max="12799" width="9.28515625" style="645" customWidth="1"/>
    <col min="12800" max="13044" width="9.7109375" style="645"/>
    <col min="13045" max="13045" width="11" style="645" customWidth="1"/>
    <col min="13046" max="13046" width="8.28515625" style="645" customWidth="1"/>
    <col min="13047" max="13049" width="7.28515625" style="645" customWidth="1"/>
    <col min="13050" max="13050" width="10.28515625" style="645" customWidth="1"/>
    <col min="13051" max="13051" width="9.28515625" style="645" customWidth="1"/>
    <col min="13052" max="13052" width="7.28515625" style="645" customWidth="1"/>
    <col min="13053" max="13053" width="10.28515625" style="645" customWidth="1"/>
    <col min="13054" max="13054" width="7.28515625" style="645" customWidth="1"/>
    <col min="13055" max="13055" width="9.28515625" style="645" customWidth="1"/>
    <col min="13056" max="13300" width="9.7109375" style="645"/>
    <col min="13301" max="13301" width="11" style="645" customWidth="1"/>
    <col min="13302" max="13302" width="8.28515625" style="645" customWidth="1"/>
    <col min="13303" max="13305" width="7.28515625" style="645" customWidth="1"/>
    <col min="13306" max="13306" width="10.28515625" style="645" customWidth="1"/>
    <col min="13307" max="13307" width="9.28515625" style="645" customWidth="1"/>
    <col min="13308" max="13308" width="7.28515625" style="645" customWidth="1"/>
    <col min="13309" max="13309" width="10.28515625" style="645" customWidth="1"/>
    <col min="13310" max="13310" width="7.28515625" style="645" customWidth="1"/>
    <col min="13311" max="13311" width="9.28515625" style="645" customWidth="1"/>
    <col min="13312" max="13556" width="9.7109375" style="645"/>
    <col min="13557" max="13557" width="11" style="645" customWidth="1"/>
    <col min="13558" max="13558" width="8.28515625" style="645" customWidth="1"/>
    <col min="13559" max="13561" width="7.28515625" style="645" customWidth="1"/>
    <col min="13562" max="13562" width="10.28515625" style="645" customWidth="1"/>
    <col min="13563" max="13563" width="9.28515625" style="645" customWidth="1"/>
    <col min="13564" max="13564" width="7.28515625" style="645" customWidth="1"/>
    <col min="13565" max="13565" width="10.28515625" style="645" customWidth="1"/>
    <col min="13566" max="13566" width="7.28515625" style="645" customWidth="1"/>
    <col min="13567" max="13567" width="9.28515625" style="645" customWidth="1"/>
    <col min="13568" max="13812" width="9.7109375" style="645"/>
    <col min="13813" max="13813" width="11" style="645" customWidth="1"/>
    <col min="13814" max="13814" width="8.28515625" style="645" customWidth="1"/>
    <col min="13815" max="13817" width="7.28515625" style="645" customWidth="1"/>
    <col min="13818" max="13818" width="10.28515625" style="645" customWidth="1"/>
    <col min="13819" max="13819" width="9.28515625" style="645" customWidth="1"/>
    <col min="13820" max="13820" width="7.28515625" style="645" customWidth="1"/>
    <col min="13821" max="13821" width="10.28515625" style="645" customWidth="1"/>
    <col min="13822" max="13822" width="7.28515625" style="645" customWidth="1"/>
    <col min="13823" max="13823" width="9.28515625" style="645" customWidth="1"/>
    <col min="13824" max="14068" width="9.7109375" style="645"/>
    <col min="14069" max="14069" width="11" style="645" customWidth="1"/>
    <col min="14070" max="14070" width="8.28515625" style="645" customWidth="1"/>
    <col min="14071" max="14073" width="7.28515625" style="645" customWidth="1"/>
    <col min="14074" max="14074" width="10.28515625" style="645" customWidth="1"/>
    <col min="14075" max="14075" width="9.28515625" style="645" customWidth="1"/>
    <col min="14076" max="14076" width="7.28515625" style="645" customWidth="1"/>
    <col min="14077" max="14077" width="10.28515625" style="645" customWidth="1"/>
    <col min="14078" max="14078" width="7.28515625" style="645" customWidth="1"/>
    <col min="14079" max="14079" width="9.28515625" style="645" customWidth="1"/>
    <col min="14080" max="14324" width="9.7109375" style="645"/>
    <col min="14325" max="14325" width="11" style="645" customWidth="1"/>
    <col min="14326" max="14326" width="8.28515625" style="645" customWidth="1"/>
    <col min="14327" max="14329" width="7.28515625" style="645" customWidth="1"/>
    <col min="14330" max="14330" width="10.28515625" style="645" customWidth="1"/>
    <col min="14331" max="14331" width="9.28515625" style="645" customWidth="1"/>
    <col min="14332" max="14332" width="7.28515625" style="645" customWidth="1"/>
    <col min="14333" max="14333" width="10.28515625" style="645" customWidth="1"/>
    <col min="14334" max="14334" width="7.28515625" style="645" customWidth="1"/>
    <col min="14335" max="14335" width="9.28515625" style="645" customWidth="1"/>
    <col min="14336" max="14580" width="9.7109375" style="645"/>
    <col min="14581" max="14581" width="11" style="645" customWidth="1"/>
    <col min="14582" max="14582" width="8.28515625" style="645" customWidth="1"/>
    <col min="14583" max="14585" width="7.28515625" style="645" customWidth="1"/>
    <col min="14586" max="14586" width="10.28515625" style="645" customWidth="1"/>
    <col min="14587" max="14587" width="9.28515625" style="645" customWidth="1"/>
    <col min="14588" max="14588" width="7.28515625" style="645" customWidth="1"/>
    <col min="14589" max="14589" width="10.28515625" style="645" customWidth="1"/>
    <col min="14590" max="14590" width="7.28515625" style="645" customWidth="1"/>
    <col min="14591" max="14591" width="9.28515625" style="645" customWidth="1"/>
    <col min="14592" max="14836" width="9.7109375" style="645"/>
    <col min="14837" max="14837" width="11" style="645" customWidth="1"/>
    <col min="14838" max="14838" width="8.28515625" style="645" customWidth="1"/>
    <col min="14839" max="14841" width="7.28515625" style="645" customWidth="1"/>
    <col min="14842" max="14842" width="10.28515625" style="645" customWidth="1"/>
    <col min="14843" max="14843" width="9.28515625" style="645" customWidth="1"/>
    <col min="14844" max="14844" width="7.28515625" style="645" customWidth="1"/>
    <col min="14845" max="14845" width="10.28515625" style="645" customWidth="1"/>
    <col min="14846" max="14846" width="7.28515625" style="645" customWidth="1"/>
    <col min="14847" max="14847" width="9.28515625" style="645" customWidth="1"/>
    <col min="14848" max="15092" width="9.7109375" style="645"/>
    <col min="15093" max="15093" width="11" style="645" customWidth="1"/>
    <col min="15094" max="15094" width="8.28515625" style="645" customWidth="1"/>
    <col min="15095" max="15097" width="7.28515625" style="645" customWidth="1"/>
    <col min="15098" max="15098" width="10.28515625" style="645" customWidth="1"/>
    <col min="15099" max="15099" width="9.28515625" style="645" customWidth="1"/>
    <col min="15100" max="15100" width="7.28515625" style="645" customWidth="1"/>
    <col min="15101" max="15101" width="10.28515625" style="645" customWidth="1"/>
    <col min="15102" max="15102" width="7.28515625" style="645" customWidth="1"/>
    <col min="15103" max="15103" width="9.28515625" style="645" customWidth="1"/>
    <col min="15104" max="15348" width="9.7109375" style="645"/>
    <col min="15349" max="15349" width="11" style="645" customWidth="1"/>
    <col min="15350" max="15350" width="8.28515625" style="645" customWidth="1"/>
    <col min="15351" max="15353" width="7.28515625" style="645" customWidth="1"/>
    <col min="15354" max="15354" width="10.28515625" style="645" customWidth="1"/>
    <col min="15355" max="15355" width="9.28515625" style="645" customWidth="1"/>
    <col min="15356" max="15356" width="7.28515625" style="645" customWidth="1"/>
    <col min="15357" max="15357" width="10.28515625" style="645" customWidth="1"/>
    <col min="15358" max="15358" width="7.28515625" style="645" customWidth="1"/>
    <col min="15359" max="15359" width="9.28515625" style="645" customWidth="1"/>
    <col min="15360" max="15604" width="9.7109375" style="645"/>
    <col min="15605" max="15605" width="11" style="645" customWidth="1"/>
    <col min="15606" max="15606" width="8.28515625" style="645" customWidth="1"/>
    <col min="15607" max="15609" width="7.28515625" style="645" customWidth="1"/>
    <col min="15610" max="15610" width="10.28515625" style="645" customWidth="1"/>
    <col min="15611" max="15611" width="9.28515625" style="645" customWidth="1"/>
    <col min="15612" max="15612" width="7.28515625" style="645" customWidth="1"/>
    <col min="15613" max="15613" width="10.28515625" style="645" customWidth="1"/>
    <col min="15614" max="15614" width="7.28515625" style="645" customWidth="1"/>
    <col min="15615" max="15615" width="9.28515625" style="645" customWidth="1"/>
    <col min="15616" max="15860" width="9.7109375" style="645"/>
    <col min="15861" max="15861" width="11" style="645" customWidth="1"/>
    <col min="15862" max="15862" width="8.28515625" style="645" customWidth="1"/>
    <col min="15863" max="15865" width="7.28515625" style="645" customWidth="1"/>
    <col min="15866" max="15866" width="10.28515625" style="645" customWidth="1"/>
    <col min="15867" max="15867" width="9.28515625" style="645" customWidth="1"/>
    <col min="15868" max="15868" width="7.28515625" style="645" customWidth="1"/>
    <col min="15869" max="15869" width="10.28515625" style="645" customWidth="1"/>
    <col min="15870" max="15870" width="7.28515625" style="645" customWidth="1"/>
    <col min="15871" max="15871" width="9.28515625" style="645" customWidth="1"/>
    <col min="15872" max="16116" width="9.7109375" style="645"/>
    <col min="16117" max="16117" width="11" style="645" customWidth="1"/>
    <col min="16118" max="16118" width="8.28515625" style="645" customWidth="1"/>
    <col min="16119" max="16121" width="7.28515625" style="645" customWidth="1"/>
    <col min="16122" max="16122" width="10.28515625" style="645" customWidth="1"/>
    <col min="16123" max="16123" width="9.28515625" style="645" customWidth="1"/>
    <col min="16124" max="16124" width="7.28515625" style="645" customWidth="1"/>
    <col min="16125" max="16125" width="10.28515625" style="645" customWidth="1"/>
    <col min="16126" max="16126" width="7.28515625" style="645" customWidth="1"/>
    <col min="16127" max="16127" width="9.28515625" style="645" customWidth="1"/>
    <col min="16128" max="16384" width="9.7109375" style="645"/>
  </cols>
  <sheetData>
    <row r="1" spans="1:11" s="644" customFormat="1" ht="15.75">
      <c r="A1" s="643" t="s">
        <v>275</v>
      </c>
    </row>
    <row r="2" spans="1:11" ht="8.1" customHeight="1"/>
    <row r="3" spans="1:11" s="646" customFormat="1" ht="17.100000000000001" customHeight="1">
      <c r="B3" s="647"/>
      <c r="C3" s="648"/>
      <c r="D3" s="648"/>
      <c r="E3" s="649"/>
      <c r="F3" s="648"/>
      <c r="G3" s="648"/>
      <c r="H3" s="648"/>
      <c r="I3" s="648"/>
      <c r="J3" s="648"/>
      <c r="K3" s="650"/>
    </row>
    <row r="4" spans="1:11" s="646" customFormat="1" ht="17.100000000000001" customHeight="1">
      <c r="A4" s="651" t="s">
        <v>216</v>
      </c>
      <c r="B4" s="651" t="s">
        <v>217</v>
      </c>
      <c r="C4" s="651" t="s">
        <v>277</v>
      </c>
      <c r="D4" s="651" t="s">
        <v>219</v>
      </c>
      <c r="E4" s="651" t="s">
        <v>220</v>
      </c>
      <c r="F4" s="651" t="s">
        <v>221</v>
      </c>
      <c r="G4" s="651" t="s">
        <v>222</v>
      </c>
      <c r="H4" s="651" t="s">
        <v>223</v>
      </c>
      <c r="I4" s="651" t="s">
        <v>224</v>
      </c>
      <c r="J4" s="651" t="s">
        <v>278</v>
      </c>
      <c r="K4" s="651" t="s">
        <v>24</v>
      </c>
    </row>
    <row r="5" spans="1:11" ht="12.75" customHeight="1">
      <c r="A5" s="652" t="s">
        <v>226</v>
      </c>
      <c r="B5" s="653">
        <v>352</v>
      </c>
      <c r="C5" s="653">
        <v>845</v>
      </c>
      <c r="D5" s="653">
        <f>1420+74</f>
        <v>1494</v>
      </c>
      <c r="E5" s="653">
        <f>306+50</f>
        <v>356</v>
      </c>
      <c r="F5" s="653">
        <f>279+40</f>
        <v>319</v>
      </c>
      <c r="G5" s="653">
        <f>865+122</f>
        <v>987</v>
      </c>
      <c r="H5" s="653">
        <f>943+26</f>
        <v>969</v>
      </c>
      <c r="I5" s="653">
        <v>104</v>
      </c>
      <c r="J5" s="653">
        <v>129</v>
      </c>
      <c r="K5" s="654">
        <f>SUM(B5:J5)</f>
        <v>5555</v>
      </c>
    </row>
    <row r="6" spans="1:11" ht="12.75" hidden="1" customHeight="1">
      <c r="A6" s="652" t="s">
        <v>227</v>
      </c>
      <c r="B6" s="653">
        <v>376</v>
      </c>
      <c r="C6" s="653">
        <v>849</v>
      </c>
      <c r="D6" s="653">
        <v>1437</v>
      </c>
      <c r="E6" s="653">
        <v>341</v>
      </c>
      <c r="F6" s="653">
        <v>311</v>
      </c>
      <c r="G6" s="653">
        <v>940</v>
      </c>
      <c r="H6" s="653">
        <v>865</v>
      </c>
      <c r="I6" s="653">
        <v>95</v>
      </c>
      <c r="J6" s="653">
        <v>130</v>
      </c>
      <c r="K6" s="654">
        <f>SUM(B6:J6)</f>
        <v>5344</v>
      </c>
    </row>
    <row r="7" spans="1:11" hidden="1">
      <c r="A7" s="652" t="s">
        <v>228</v>
      </c>
      <c r="B7" s="653">
        <v>388</v>
      </c>
      <c r="C7" s="653">
        <v>870</v>
      </c>
      <c r="D7" s="653">
        <v>1488</v>
      </c>
      <c r="E7" s="653">
        <v>328</v>
      </c>
      <c r="F7" s="653">
        <v>312</v>
      </c>
      <c r="G7" s="653">
        <v>931</v>
      </c>
      <c r="H7" s="653">
        <v>899</v>
      </c>
      <c r="I7" s="653">
        <v>102</v>
      </c>
      <c r="J7" s="653">
        <v>136</v>
      </c>
      <c r="K7" s="654">
        <f>SUM(B7:J7)</f>
        <v>5454</v>
      </c>
    </row>
    <row r="8" spans="1:11" hidden="1">
      <c r="A8" s="652" t="s">
        <v>229</v>
      </c>
      <c r="B8" s="653">
        <v>370</v>
      </c>
      <c r="C8" s="653">
        <v>818</v>
      </c>
      <c r="D8" s="653">
        <v>1420</v>
      </c>
      <c r="E8" s="653">
        <v>318</v>
      </c>
      <c r="F8" s="653">
        <v>314</v>
      </c>
      <c r="G8" s="653">
        <v>914</v>
      </c>
      <c r="H8" s="653">
        <v>848</v>
      </c>
      <c r="I8" s="653">
        <v>102</v>
      </c>
      <c r="J8" s="653">
        <v>131</v>
      </c>
      <c r="K8" s="654">
        <f>SUM(B8:J8)</f>
        <v>5235</v>
      </c>
    </row>
    <row r="9" spans="1:11">
      <c r="A9" s="652" t="s">
        <v>230</v>
      </c>
      <c r="B9" s="653">
        <v>360</v>
      </c>
      <c r="C9" s="653">
        <v>841</v>
      </c>
      <c r="D9" s="653">
        <v>1433</v>
      </c>
      <c r="E9" s="653">
        <v>319</v>
      </c>
      <c r="F9" s="653">
        <v>310</v>
      </c>
      <c r="G9" s="653">
        <v>910</v>
      </c>
      <c r="H9" s="653">
        <v>828</v>
      </c>
      <c r="I9" s="653">
        <v>101</v>
      </c>
      <c r="J9" s="653">
        <v>125</v>
      </c>
      <c r="K9" s="654">
        <f>SUM(B9:J9)</f>
        <v>5227</v>
      </c>
    </row>
    <row r="10" spans="1:11">
      <c r="A10" s="655"/>
      <c r="B10" s="656"/>
      <c r="C10" s="656"/>
      <c r="D10" s="656"/>
      <c r="E10" s="656"/>
      <c r="F10" s="656"/>
      <c r="G10" s="656"/>
      <c r="H10" s="656"/>
      <c r="I10" s="656"/>
      <c r="J10" s="656"/>
      <c r="K10" s="657"/>
    </row>
    <row r="11" spans="1:11">
      <c r="A11" s="652" t="s">
        <v>49</v>
      </c>
      <c r="B11" s="653">
        <v>359</v>
      </c>
      <c r="C11" s="653">
        <v>818</v>
      </c>
      <c r="D11" s="653">
        <v>1360</v>
      </c>
      <c r="E11" s="653">
        <v>311</v>
      </c>
      <c r="F11" s="653">
        <v>303</v>
      </c>
      <c r="G11" s="653">
        <v>904</v>
      </c>
      <c r="H11" s="653">
        <v>848</v>
      </c>
      <c r="I11" s="653">
        <v>105</v>
      </c>
      <c r="J11" s="653">
        <v>146</v>
      </c>
      <c r="K11" s="654">
        <f>SUM(B11:J11)</f>
        <v>5154</v>
      </c>
    </row>
    <row r="12" spans="1:11" hidden="1">
      <c r="A12" s="652" t="s">
        <v>231</v>
      </c>
      <c r="B12" s="653">
        <v>371</v>
      </c>
      <c r="C12" s="653">
        <f>798+25</f>
        <v>823</v>
      </c>
      <c r="D12" s="653">
        <f>1366+57</f>
        <v>1423</v>
      </c>
      <c r="E12" s="653">
        <f>256+33</f>
        <v>289</v>
      </c>
      <c r="F12" s="653">
        <f>265+30</f>
        <v>295</v>
      </c>
      <c r="G12" s="653">
        <f>825+104</f>
        <v>929</v>
      </c>
      <c r="H12" s="653">
        <f>837+6</f>
        <v>843</v>
      </c>
      <c r="I12" s="653">
        <v>101</v>
      </c>
      <c r="J12" s="653">
        <f>127+18</f>
        <v>145</v>
      </c>
      <c r="K12" s="654">
        <f>SUM(B12:J12)</f>
        <v>5219</v>
      </c>
    </row>
    <row r="13" spans="1:11" hidden="1">
      <c r="A13" s="652" t="s">
        <v>232</v>
      </c>
      <c r="B13" s="653">
        <v>389</v>
      </c>
      <c r="C13" s="653">
        <f>836+24</f>
        <v>860</v>
      </c>
      <c r="D13" s="653">
        <f>1312+59</f>
        <v>1371</v>
      </c>
      <c r="E13" s="653">
        <f>231+28</f>
        <v>259</v>
      </c>
      <c r="F13" s="653">
        <f>252+37</f>
        <v>289</v>
      </c>
      <c r="G13" s="653">
        <f>832+111</f>
        <v>943</v>
      </c>
      <c r="H13" s="653">
        <f>835+5</f>
        <v>840</v>
      </c>
      <c r="I13" s="653">
        <v>89</v>
      </c>
      <c r="J13" s="653">
        <f>134+17</f>
        <v>151</v>
      </c>
      <c r="K13" s="654">
        <f>SUM(B13:J13)</f>
        <v>5191</v>
      </c>
    </row>
    <row r="14" spans="1:11" hidden="1">
      <c r="A14" s="652" t="s">
        <v>233</v>
      </c>
      <c r="B14" s="653">
        <v>367</v>
      </c>
      <c r="C14" s="653">
        <f>828+9</f>
        <v>837</v>
      </c>
      <c r="D14" s="653">
        <f>1335+63</f>
        <v>1398</v>
      </c>
      <c r="E14" s="653">
        <f>237+27</f>
        <v>264</v>
      </c>
      <c r="F14" s="653">
        <f>250+36</f>
        <v>286</v>
      </c>
      <c r="G14" s="653">
        <f>832+102</f>
        <v>934</v>
      </c>
      <c r="H14" s="653">
        <f>850+4</f>
        <v>854</v>
      </c>
      <c r="I14" s="653">
        <v>87</v>
      </c>
      <c r="J14" s="653">
        <f>137+19</f>
        <v>156</v>
      </c>
      <c r="K14" s="654">
        <f>SUM(B14:J14)</f>
        <v>5183</v>
      </c>
    </row>
    <row r="15" spans="1:11" hidden="1">
      <c r="A15" s="652" t="s">
        <v>234</v>
      </c>
      <c r="B15" s="653">
        <v>366</v>
      </c>
      <c r="C15" s="653">
        <f>802+8</f>
        <v>810</v>
      </c>
      <c r="D15" s="653">
        <f>1277+45</f>
        <v>1322</v>
      </c>
      <c r="E15" s="653">
        <f>255+22</f>
        <v>277</v>
      </c>
      <c r="F15" s="653">
        <f>187+33</f>
        <v>220</v>
      </c>
      <c r="G15" s="653">
        <f>862+82</f>
        <v>944</v>
      </c>
      <c r="H15" s="653">
        <f>826+3</f>
        <v>829</v>
      </c>
      <c r="I15" s="653">
        <v>86</v>
      </c>
      <c r="J15" s="653">
        <f>136+15</f>
        <v>151</v>
      </c>
      <c r="K15" s="654">
        <f>SUM(B15:J15)</f>
        <v>5005</v>
      </c>
    </row>
    <row r="16" spans="1:11" hidden="1">
      <c r="A16" s="655"/>
      <c r="B16" s="656"/>
      <c r="C16" s="656"/>
      <c r="D16" s="656"/>
      <c r="E16" s="656"/>
      <c r="F16" s="656"/>
      <c r="G16" s="656"/>
      <c r="H16" s="656"/>
      <c r="I16" s="656"/>
      <c r="J16" s="656"/>
      <c r="K16" s="657"/>
    </row>
    <row r="17" spans="1:12">
      <c r="A17" s="652" t="s">
        <v>50</v>
      </c>
      <c r="B17" s="653">
        <v>380</v>
      </c>
      <c r="C17" s="653">
        <v>872</v>
      </c>
      <c r="D17" s="653">
        <v>1195</v>
      </c>
      <c r="E17" s="653">
        <v>264</v>
      </c>
      <c r="F17" s="653">
        <v>218</v>
      </c>
      <c r="G17" s="653">
        <v>965</v>
      </c>
      <c r="H17" s="653">
        <v>866</v>
      </c>
      <c r="I17" s="653">
        <v>88</v>
      </c>
      <c r="J17" s="653">
        <v>168</v>
      </c>
      <c r="K17" s="654">
        <f>SUM(B17:J17)</f>
        <v>5016</v>
      </c>
      <c r="L17" s="658"/>
    </row>
    <row r="18" spans="1:12" hidden="1">
      <c r="A18" s="652" t="s">
        <v>153</v>
      </c>
      <c r="B18" s="653">
        <v>425</v>
      </c>
      <c r="C18" s="653">
        <v>983</v>
      </c>
      <c r="D18" s="653">
        <v>1211</v>
      </c>
      <c r="E18" s="653">
        <v>277</v>
      </c>
      <c r="F18" s="653">
        <v>225</v>
      </c>
      <c r="G18" s="653">
        <v>961</v>
      </c>
      <c r="H18" s="653">
        <v>826</v>
      </c>
      <c r="I18" s="653">
        <v>88</v>
      </c>
      <c r="J18" s="653">
        <v>149</v>
      </c>
      <c r="K18" s="654">
        <f>SUM(B18:J18)</f>
        <v>5145</v>
      </c>
      <c r="L18" s="658"/>
    </row>
    <row r="19" spans="1:12" hidden="1">
      <c r="A19" s="652" t="s">
        <v>154</v>
      </c>
      <c r="B19" s="653">
        <v>455</v>
      </c>
      <c r="C19" s="653">
        <v>1037</v>
      </c>
      <c r="D19" s="653">
        <v>1233</v>
      </c>
      <c r="E19" s="653">
        <v>272</v>
      </c>
      <c r="F19" s="653">
        <v>241</v>
      </c>
      <c r="G19" s="653">
        <v>1012</v>
      </c>
      <c r="H19" s="653">
        <v>848</v>
      </c>
      <c r="I19" s="653">
        <v>89</v>
      </c>
      <c r="J19" s="653">
        <v>168</v>
      </c>
      <c r="K19" s="654">
        <f>SUM(B19:J19)</f>
        <v>5355</v>
      </c>
      <c r="L19" s="658"/>
    </row>
    <row r="20" spans="1:12" hidden="1">
      <c r="A20" s="652" t="s">
        <v>155</v>
      </c>
      <c r="B20" s="653">
        <v>442</v>
      </c>
      <c r="C20" s="653">
        <v>1058</v>
      </c>
      <c r="D20" s="653">
        <v>1310</v>
      </c>
      <c r="E20" s="653">
        <v>278</v>
      </c>
      <c r="F20" s="653">
        <v>232</v>
      </c>
      <c r="G20" s="653">
        <v>1060</v>
      </c>
      <c r="H20" s="653">
        <v>896</v>
      </c>
      <c r="I20" s="653">
        <v>98</v>
      </c>
      <c r="J20" s="653">
        <v>175</v>
      </c>
      <c r="K20" s="654">
        <f>SUM(B20:J20)</f>
        <v>5549</v>
      </c>
      <c r="L20" s="658"/>
    </row>
    <row r="21" spans="1:12">
      <c r="A21" s="652" t="s">
        <v>156</v>
      </c>
      <c r="B21" s="653">
        <v>452</v>
      </c>
      <c r="C21" s="653">
        <v>1067</v>
      </c>
      <c r="D21" s="653">
        <v>1386</v>
      </c>
      <c r="E21" s="653">
        <v>292</v>
      </c>
      <c r="F21" s="653">
        <v>249</v>
      </c>
      <c r="G21" s="653">
        <v>1074</v>
      </c>
      <c r="H21" s="653">
        <v>921</v>
      </c>
      <c r="I21" s="653">
        <v>104</v>
      </c>
      <c r="J21" s="653">
        <v>169</v>
      </c>
      <c r="K21" s="654">
        <f>SUM(B21:J21)</f>
        <v>5714</v>
      </c>
      <c r="L21" s="658"/>
    </row>
    <row r="22" spans="1:12">
      <c r="A22" s="655"/>
      <c r="B22" s="656"/>
      <c r="C22" s="656"/>
      <c r="D22" s="656"/>
      <c r="E22" s="656"/>
      <c r="F22" s="656"/>
      <c r="G22" s="656"/>
      <c r="H22" s="656"/>
      <c r="I22" s="656"/>
      <c r="J22" s="656"/>
      <c r="K22" s="657"/>
      <c r="L22" s="658"/>
    </row>
    <row r="23" spans="1:12">
      <c r="A23" s="652" t="s">
        <v>51</v>
      </c>
      <c r="B23" s="653">
        <v>445</v>
      </c>
      <c r="C23" s="653">
        <v>1203</v>
      </c>
      <c r="D23" s="653">
        <v>1361</v>
      </c>
      <c r="E23" s="653">
        <v>315</v>
      </c>
      <c r="F23" s="653">
        <v>246</v>
      </c>
      <c r="G23" s="653">
        <v>1052</v>
      </c>
      <c r="H23" s="653">
        <v>919</v>
      </c>
      <c r="I23" s="653">
        <v>100</v>
      </c>
      <c r="J23" s="653">
        <v>150</v>
      </c>
      <c r="K23" s="654">
        <f>SUM(B23:J23)</f>
        <v>5791</v>
      </c>
      <c r="L23" s="658"/>
    </row>
    <row r="24" spans="1:12" hidden="1">
      <c r="A24" s="652" t="s">
        <v>52</v>
      </c>
      <c r="B24" s="653">
        <v>413</v>
      </c>
      <c r="C24" s="653">
        <v>1151</v>
      </c>
      <c r="D24" s="653">
        <v>1335</v>
      </c>
      <c r="E24" s="653">
        <v>312</v>
      </c>
      <c r="F24" s="653">
        <v>244</v>
      </c>
      <c r="G24" s="653">
        <v>1028</v>
      </c>
      <c r="H24" s="653">
        <v>936</v>
      </c>
      <c r="I24" s="653">
        <v>108</v>
      </c>
      <c r="J24" s="653">
        <v>148</v>
      </c>
      <c r="K24" s="654">
        <f>SUM(B24:J24)</f>
        <v>5675</v>
      </c>
      <c r="L24" s="658"/>
    </row>
    <row r="25" spans="1:12">
      <c r="A25" s="652" t="s">
        <v>53</v>
      </c>
      <c r="B25" s="653">
        <v>390</v>
      </c>
      <c r="C25" s="653">
        <v>1017</v>
      </c>
      <c r="D25" s="653">
        <v>1274</v>
      </c>
      <c r="E25" s="653">
        <v>292</v>
      </c>
      <c r="F25" s="653">
        <v>232</v>
      </c>
      <c r="G25" s="653">
        <v>904</v>
      </c>
      <c r="H25" s="653">
        <v>919</v>
      </c>
      <c r="I25" s="653">
        <v>109</v>
      </c>
      <c r="J25" s="653">
        <v>149</v>
      </c>
      <c r="K25" s="654">
        <f>SUM(B25:J25)</f>
        <v>5286</v>
      </c>
      <c r="L25" s="658"/>
    </row>
    <row r="26" spans="1:12">
      <c r="A26" s="655"/>
      <c r="B26" s="656"/>
      <c r="C26" s="656"/>
      <c r="D26" s="656"/>
      <c r="E26" s="656"/>
      <c r="F26" s="656"/>
      <c r="G26" s="656"/>
      <c r="H26" s="656"/>
      <c r="I26" s="656"/>
      <c r="J26" s="656"/>
      <c r="K26" s="657"/>
    </row>
    <row r="27" spans="1:12" ht="14.25">
      <c r="A27" s="652" t="s">
        <v>279</v>
      </c>
      <c r="B27" s="653">
        <v>389</v>
      </c>
      <c r="C27" s="653">
        <v>1009</v>
      </c>
      <c r="D27" s="653">
        <v>1269</v>
      </c>
      <c r="E27" s="653">
        <v>282</v>
      </c>
      <c r="F27" s="653">
        <v>228</v>
      </c>
      <c r="G27" s="653">
        <v>886</v>
      </c>
      <c r="H27" s="653">
        <v>895</v>
      </c>
      <c r="I27" s="653">
        <v>108</v>
      </c>
      <c r="J27" s="653">
        <v>148</v>
      </c>
      <c r="K27" s="654">
        <f>SUM(B27:J27)</f>
        <v>5214</v>
      </c>
      <c r="L27" s="658"/>
    </row>
    <row r="28" spans="1:12" hidden="1">
      <c r="A28" s="652" t="s">
        <v>54</v>
      </c>
      <c r="B28" s="653">
        <v>373</v>
      </c>
      <c r="C28" s="653">
        <v>1132</v>
      </c>
      <c r="D28" s="653">
        <v>1256</v>
      </c>
      <c r="E28" s="653">
        <v>298</v>
      </c>
      <c r="F28" s="653">
        <v>246</v>
      </c>
      <c r="G28" s="653">
        <v>887</v>
      </c>
      <c r="H28" s="653">
        <v>896</v>
      </c>
      <c r="I28" s="653">
        <v>114</v>
      </c>
      <c r="J28" s="653">
        <v>150</v>
      </c>
      <c r="K28" s="654">
        <f>SUM(B28:J28)</f>
        <v>5352</v>
      </c>
      <c r="L28" s="658"/>
    </row>
    <row r="29" spans="1:12" hidden="1">
      <c r="A29" s="652" t="s">
        <v>55</v>
      </c>
      <c r="B29" s="653">
        <v>544</v>
      </c>
      <c r="C29" s="653">
        <v>1146</v>
      </c>
      <c r="D29" s="653">
        <v>1349</v>
      </c>
      <c r="E29" s="653">
        <v>238</v>
      </c>
      <c r="F29" s="653">
        <v>248</v>
      </c>
      <c r="G29" s="653">
        <v>881</v>
      </c>
      <c r="H29" s="653">
        <v>919</v>
      </c>
      <c r="I29" s="653">
        <v>121</v>
      </c>
      <c r="J29" s="659" t="s">
        <v>134</v>
      </c>
      <c r="K29" s="654">
        <f>SUM(B29:J29)</f>
        <v>5446</v>
      </c>
      <c r="L29" s="658"/>
    </row>
    <row r="30" spans="1:12">
      <c r="A30" s="655"/>
      <c r="B30" s="656"/>
      <c r="C30" s="656"/>
      <c r="D30" s="656"/>
      <c r="E30" s="656"/>
      <c r="F30" s="656"/>
      <c r="G30" s="656"/>
      <c r="H30" s="656"/>
      <c r="I30" s="656"/>
      <c r="J30" s="660"/>
      <c r="K30" s="657"/>
      <c r="L30" s="658"/>
    </row>
    <row r="31" spans="1:12">
      <c r="A31" s="652" t="s">
        <v>56</v>
      </c>
      <c r="B31" s="653">
        <v>472</v>
      </c>
      <c r="C31" s="653">
        <v>1127</v>
      </c>
      <c r="D31" s="653">
        <v>1393</v>
      </c>
      <c r="E31" s="653">
        <v>239</v>
      </c>
      <c r="F31" s="653">
        <v>231</v>
      </c>
      <c r="G31" s="653">
        <v>930</v>
      </c>
      <c r="H31" s="653">
        <v>918</v>
      </c>
      <c r="I31" s="653">
        <v>122</v>
      </c>
      <c r="J31" s="661" t="s">
        <v>134</v>
      </c>
      <c r="K31" s="654">
        <f>SUM(B31:J31)</f>
        <v>5432</v>
      </c>
      <c r="L31" s="658"/>
    </row>
    <row r="32" spans="1:12" hidden="1">
      <c r="A32" s="652" t="s">
        <v>57</v>
      </c>
      <c r="B32" s="653">
        <v>451</v>
      </c>
      <c r="C32" s="653">
        <v>1046</v>
      </c>
      <c r="D32" s="653">
        <v>1324</v>
      </c>
      <c r="E32" s="653">
        <v>233</v>
      </c>
      <c r="F32" s="653">
        <v>226</v>
      </c>
      <c r="G32" s="653">
        <v>910</v>
      </c>
      <c r="H32" s="653">
        <v>898</v>
      </c>
      <c r="I32" s="653">
        <v>123</v>
      </c>
      <c r="J32" s="659"/>
      <c r="K32" s="654">
        <f>SUM(B32:J32)</f>
        <v>5211</v>
      </c>
      <c r="L32" s="658"/>
    </row>
    <row r="33" spans="1:12" hidden="1">
      <c r="A33" s="652" t="s">
        <v>58</v>
      </c>
      <c r="B33" s="653">
        <v>458</v>
      </c>
      <c r="C33" s="653">
        <v>1191</v>
      </c>
      <c r="D33" s="653">
        <v>1368</v>
      </c>
      <c r="E33" s="653">
        <v>252</v>
      </c>
      <c r="F33" s="653">
        <v>227</v>
      </c>
      <c r="G33" s="653">
        <v>938</v>
      </c>
      <c r="H33" s="653">
        <v>913</v>
      </c>
      <c r="I33" s="653">
        <v>133</v>
      </c>
      <c r="J33" s="659" t="s">
        <v>134</v>
      </c>
      <c r="K33" s="654">
        <f>SUM(B33:J33)</f>
        <v>5480</v>
      </c>
      <c r="L33" s="658"/>
    </row>
    <row r="34" spans="1:12" hidden="1">
      <c r="A34" s="652" t="s">
        <v>59</v>
      </c>
      <c r="B34" s="653">
        <v>414</v>
      </c>
      <c r="C34" s="653">
        <v>1272</v>
      </c>
      <c r="D34" s="653">
        <v>1408</v>
      </c>
      <c r="E34" s="653">
        <v>258</v>
      </c>
      <c r="F34" s="653">
        <v>223</v>
      </c>
      <c r="G34" s="653">
        <v>916</v>
      </c>
      <c r="H34" s="653">
        <v>892</v>
      </c>
      <c r="I34" s="653">
        <v>132</v>
      </c>
      <c r="J34" s="659" t="s">
        <v>134</v>
      </c>
      <c r="K34" s="654">
        <f>SUM(B34:J34)</f>
        <v>5515</v>
      </c>
      <c r="L34" s="658"/>
    </row>
    <row r="35" spans="1:12" hidden="1">
      <c r="A35" s="652" t="s">
        <v>60</v>
      </c>
      <c r="B35" s="653">
        <v>438</v>
      </c>
      <c r="C35" s="653">
        <v>1232</v>
      </c>
      <c r="D35" s="653">
        <v>1437</v>
      </c>
      <c r="E35" s="653">
        <v>274</v>
      </c>
      <c r="F35" s="653">
        <v>227</v>
      </c>
      <c r="G35" s="653">
        <v>978</v>
      </c>
      <c r="H35" s="653">
        <v>896</v>
      </c>
      <c r="I35" s="653">
        <v>116</v>
      </c>
      <c r="J35" s="659" t="s">
        <v>134</v>
      </c>
      <c r="K35" s="654">
        <f>SUM(B35:J35)</f>
        <v>5598</v>
      </c>
    </row>
    <row r="36" spans="1:12" hidden="1">
      <c r="A36" s="652" t="s">
        <v>61</v>
      </c>
      <c r="B36" s="653">
        <v>551</v>
      </c>
      <c r="C36" s="653">
        <v>1391</v>
      </c>
      <c r="D36" s="653">
        <v>1543</v>
      </c>
      <c r="E36" s="653">
        <v>301</v>
      </c>
      <c r="F36" s="653">
        <v>233</v>
      </c>
      <c r="G36" s="653">
        <v>904</v>
      </c>
      <c r="H36" s="653">
        <v>978</v>
      </c>
      <c r="I36" s="653">
        <v>117</v>
      </c>
      <c r="J36" s="659" t="s">
        <v>134</v>
      </c>
      <c r="K36" s="654">
        <v>6018</v>
      </c>
    </row>
    <row r="37" spans="1:12" hidden="1">
      <c r="A37" s="655" t="s">
        <v>63</v>
      </c>
      <c r="B37" s="656">
        <v>383</v>
      </c>
      <c r="C37" s="656">
        <v>1378</v>
      </c>
      <c r="D37" s="656">
        <v>1449</v>
      </c>
      <c r="E37" s="656">
        <v>289</v>
      </c>
      <c r="F37" s="656">
        <v>231</v>
      </c>
      <c r="G37" s="656">
        <v>867</v>
      </c>
      <c r="H37" s="656">
        <v>966</v>
      </c>
      <c r="I37" s="662">
        <v>123</v>
      </c>
      <c r="J37" s="662"/>
      <c r="K37" s="654">
        <f>SUM(B37:J37)</f>
        <v>5686</v>
      </c>
    </row>
    <row r="38" spans="1:12" hidden="1">
      <c r="A38" s="663" t="s">
        <v>64</v>
      </c>
      <c r="B38" s="664">
        <v>382.01299999999998</v>
      </c>
      <c r="C38" s="664">
        <v>1416.492</v>
      </c>
      <c r="D38" s="664">
        <v>1500.8119999999999</v>
      </c>
      <c r="E38" s="664">
        <v>294.41800000000001</v>
      </c>
      <c r="F38" s="664">
        <v>228.12799999999999</v>
      </c>
      <c r="G38" s="664">
        <v>892.66099999999994</v>
      </c>
      <c r="H38" s="664">
        <v>976.75199999999995</v>
      </c>
      <c r="I38" s="665">
        <v>128.328</v>
      </c>
      <c r="J38" s="665"/>
      <c r="K38" s="666">
        <v>5819.6040000000003</v>
      </c>
    </row>
    <row r="39" spans="1:12" hidden="1">
      <c r="A39" s="663" t="s">
        <v>65</v>
      </c>
      <c r="B39" s="664">
        <f>216.099+145.724</f>
        <v>361.82299999999998</v>
      </c>
      <c r="C39" s="664">
        <f>1170.318+281.806</f>
        <v>1452.124</v>
      </c>
      <c r="D39" s="664">
        <v>1493.8330000000001</v>
      </c>
      <c r="E39" s="664">
        <v>321.67399999999998</v>
      </c>
      <c r="F39" s="664">
        <v>236.84100000000001</v>
      </c>
      <c r="G39" s="664">
        <v>835.93100000000004</v>
      </c>
      <c r="H39" s="664">
        <v>975.79499999999996</v>
      </c>
      <c r="I39" s="665">
        <v>134.15299999999999</v>
      </c>
      <c r="J39" s="665"/>
      <c r="K39" s="666">
        <f>SUM(B39:I39)</f>
        <v>5812.1740000000009</v>
      </c>
    </row>
    <row r="40" spans="1:12" hidden="1">
      <c r="A40" s="663" t="s">
        <v>66</v>
      </c>
      <c r="B40" s="664">
        <v>343.52100000000002</v>
      </c>
      <c r="C40" s="664">
        <v>1378.97</v>
      </c>
      <c r="D40" s="664">
        <v>1550.02</v>
      </c>
      <c r="E40" s="664">
        <v>318.17899999999997</v>
      </c>
      <c r="F40" s="664">
        <v>234.29599999999999</v>
      </c>
      <c r="G40" s="664">
        <v>811.31899999999996</v>
      </c>
      <c r="H40" s="664">
        <v>966.84400000000005</v>
      </c>
      <c r="I40" s="665">
        <v>131.82400000000001</v>
      </c>
      <c r="J40" s="665"/>
      <c r="K40" s="666">
        <f>SUM(B40:I40)</f>
        <v>5734.973</v>
      </c>
    </row>
    <row r="41" spans="1:12">
      <c r="A41" s="663" t="s">
        <v>67</v>
      </c>
      <c r="B41" s="664">
        <v>329.25700000000001</v>
      </c>
      <c r="C41" s="664">
        <v>1456.8240000000001</v>
      </c>
      <c r="D41" s="664">
        <v>1542.6010000000001</v>
      </c>
      <c r="E41" s="664">
        <v>294.17</v>
      </c>
      <c r="F41" s="664">
        <v>243.49700000000001</v>
      </c>
      <c r="G41" s="664">
        <v>794.904</v>
      </c>
      <c r="H41" s="664">
        <v>943.553</v>
      </c>
      <c r="I41" s="665">
        <v>125.187</v>
      </c>
      <c r="J41" s="667" t="s">
        <v>134</v>
      </c>
      <c r="K41" s="666">
        <v>5729.9930000000004</v>
      </c>
    </row>
    <row r="42" spans="1:12" hidden="1">
      <c r="A42" s="663" t="s">
        <v>68</v>
      </c>
      <c r="B42" s="664">
        <f>190.873+140.157</f>
        <v>331.03</v>
      </c>
      <c r="C42" s="664">
        <f>1253.507+311.516</f>
        <v>1565.0230000000001</v>
      </c>
      <c r="D42" s="664">
        <v>1593.825</v>
      </c>
      <c r="E42" s="664">
        <v>301.209</v>
      </c>
      <c r="F42" s="664">
        <v>254.185</v>
      </c>
      <c r="G42" s="664">
        <v>790.17</v>
      </c>
      <c r="H42" s="664">
        <v>958.14200000000005</v>
      </c>
      <c r="I42" s="665">
        <v>130.251</v>
      </c>
      <c r="J42" s="668"/>
      <c r="K42" s="666">
        <f>SUM(B42:I42)</f>
        <v>5923.835</v>
      </c>
    </row>
    <row r="43" spans="1:12" hidden="1">
      <c r="A43" s="663" t="s">
        <v>69</v>
      </c>
      <c r="B43" s="664">
        <v>321.93299999999999</v>
      </c>
      <c r="C43" s="664">
        <v>1651.509</v>
      </c>
      <c r="D43" s="664">
        <v>1548.02</v>
      </c>
      <c r="E43" s="664">
        <v>305.04300000000001</v>
      </c>
      <c r="F43" s="664">
        <v>253.755</v>
      </c>
      <c r="G43" s="664">
        <v>810.25599999999997</v>
      </c>
      <c r="H43" s="664">
        <v>974.17600000000004</v>
      </c>
      <c r="I43" s="665">
        <v>135.14599999999999</v>
      </c>
      <c r="J43" s="668"/>
      <c r="K43" s="666">
        <v>5999.8380000000006</v>
      </c>
    </row>
    <row r="44" spans="1:12" s="670" customFormat="1" ht="12.75" hidden="1" customHeight="1">
      <c r="A44" s="663" t="s">
        <v>70</v>
      </c>
      <c r="B44" s="664">
        <v>292.50200000000001</v>
      </c>
      <c r="C44" s="664">
        <v>1684.4190000000001</v>
      </c>
      <c r="D44" s="664">
        <v>1483.4939999999999</v>
      </c>
      <c r="E44" s="664">
        <v>295.38499999999999</v>
      </c>
      <c r="F44" s="664">
        <v>253.46700000000001</v>
      </c>
      <c r="G44" s="664">
        <v>779.58</v>
      </c>
      <c r="H44" s="664">
        <v>985.00400000000002</v>
      </c>
      <c r="I44" s="665">
        <v>139.91499999999999</v>
      </c>
      <c r="J44" s="668"/>
      <c r="K44" s="666">
        <f>SUM(B44:I44)</f>
        <v>5913.7660000000005</v>
      </c>
      <c r="L44" s="669"/>
    </row>
    <row r="45" spans="1:12" s="670" customFormat="1" ht="12.75" customHeight="1">
      <c r="A45" s="663" t="s">
        <v>71</v>
      </c>
      <c r="B45" s="664">
        <f>101.803+173.834</f>
        <v>275.637</v>
      </c>
      <c r="C45" s="664">
        <f>1414.993+359.384</f>
        <v>1774.377</v>
      </c>
      <c r="D45" s="664">
        <v>1525.4359999999999</v>
      </c>
      <c r="E45" s="664">
        <v>294.21199999999999</v>
      </c>
      <c r="F45" s="664">
        <v>230.08199999999999</v>
      </c>
      <c r="G45" s="664">
        <v>809.57600000000002</v>
      </c>
      <c r="H45" s="664">
        <v>1041.239</v>
      </c>
      <c r="I45" s="665">
        <v>137.733</v>
      </c>
      <c r="J45" s="667" t="s">
        <v>134</v>
      </c>
      <c r="K45" s="666">
        <f>SUM(B45:I45)</f>
        <v>6088.2919999999995</v>
      </c>
      <c r="L45" s="669"/>
    </row>
    <row r="46" spans="1:12" s="671" customFormat="1" ht="12.75" customHeight="1">
      <c r="A46" s="663" t="s">
        <v>236</v>
      </c>
      <c r="B46" s="664">
        <v>293.99799999999999</v>
      </c>
      <c r="C46" s="664">
        <v>1646.2909999999999</v>
      </c>
      <c r="D46" s="664">
        <v>1454.559</v>
      </c>
      <c r="E46" s="664">
        <v>278.036</v>
      </c>
      <c r="F46" s="664">
        <v>225.64</v>
      </c>
      <c r="G46" s="664">
        <v>784.61599999999999</v>
      </c>
      <c r="H46" s="664">
        <v>1071.5609999999999</v>
      </c>
      <c r="I46" s="665">
        <v>135.46899999999999</v>
      </c>
      <c r="J46" s="667" t="s">
        <v>134</v>
      </c>
      <c r="K46" s="666">
        <f>SUM(B46:I46)</f>
        <v>5890.1699999999992</v>
      </c>
      <c r="L46" s="645"/>
    </row>
    <row r="47" spans="1:12" s="671" customFormat="1" ht="12.75" hidden="1" customHeight="1">
      <c r="A47" s="663" t="s">
        <v>72</v>
      </c>
      <c r="B47" s="664">
        <v>249.654</v>
      </c>
      <c r="C47" s="664">
        <v>1667.5319999999999</v>
      </c>
      <c r="D47" s="664">
        <v>1495.893</v>
      </c>
      <c r="E47" s="664">
        <v>294.56099999999998</v>
      </c>
      <c r="F47" s="664">
        <v>225.22399999999999</v>
      </c>
      <c r="G47" s="664">
        <v>831.78399999999999</v>
      </c>
      <c r="H47" s="664">
        <v>1079.3710000000001</v>
      </c>
      <c r="I47" s="665">
        <v>119.104</v>
      </c>
      <c r="J47" s="667"/>
      <c r="K47" s="666">
        <v>5963.1230000000005</v>
      </c>
      <c r="L47" s="645"/>
    </row>
    <row r="48" spans="1:12" s="671" customFormat="1" ht="12.75" hidden="1" customHeight="1">
      <c r="A48" s="663" t="s">
        <v>73</v>
      </c>
      <c r="B48" s="664">
        <v>244.476</v>
      </c>
      <c r="C48" s="664">
        <v>1703.6080000000002</v>
      </c>
      <c r="D48" s="664">
        <v>1574.1849999999999</v>
      </c>
      <c r="E48" s="664">
        <v>303.43200000000002</v>
      </c>
      <c r="F48" s="664">
        <v>232.66399999999999</v>
      </c>
      <c r="G48" s="664">
        <v>870.28399999999999</v>
      </c>
      <c r="H48" s="664">
        <v>1103.819</v>
      </c>
      <c r="I48" s="665">
        <v>131.06100000000001</v>
      </c>
      <c r="J48" s="667"/>
      <c r="K48" s="666">
        <v>6163.5289999999986</v>
      </c>
      <c r="L48" s="645"/>
    </row>
    <row r="49" spans="1:12" s="671" customFormat="1" ht="12.75" hidden="1" customHeight="1">
      <c r="A49" s="663" t="s">
        <v>74</v>
      </c>
      <c r="B49" s="664">
        <v>240.49600000000001</v>
      </c>
      <c r="C49" s="664">
        <v>1647.576</v>
      </c>
      <c r="D49" s="664">
        <v>1525.7360000000001</v>
      </c>
      <c r="E49" s="664">
        <v>295.005</v>
      </c>
      <c r="F49" s="664">
        <v>244.13300000000001</v>
      </c>
      <c r="G49" s="664">
        <v>838.88199999999995</v>
      </c>
      <c r="H49" s="664">
        <v>1076.5170000000001</v>
      </c>
      <c r="I49" s="665">
        <v>132.214</v>
      </c>
      <c r="J49" s="667"/>
      <c r="K49" s="666">
        <v>6000.5589999999993</v>
      </c>
      <c r="L49" s="645"/>
    </row>
    <row r="50" spans="1:12" s="671" customFormat="1" ht="12.75" customHeight="1">
      <c r="A50" s="663" t="s">
        <v>75</v>
      </c>
      <c r="B50" s="664">
        <v>239.14</v>
      </c>
      <c r="C50" s="664">
        <v>1623.0930000000001</v>
      </c>
      <c r="D50" s="664">
        <v>1627.4939999999999</v>
      </c>
      <c r="E50" s="664">
        <v>278.20699999999999</v>
      </c>
      <c r="F50" s="664">
        <v>246.58600000000001</v>
      </c>
      <c r="G50" s="664">
        <v>839.06100000000004</v>
      </c>
      <c r="H50" s="664">
        <v>1063.463</v>
      </c>
      <c r="I50" s="665">
        <v>144.584</v>
      </c>
      <c r="J50" s="667" t="s">
        <v>134</v>
      </c>
      <c r="K50" s="666">
        <v>6061.6279999999988</v>
      </c>
      <c r="L50" s="645"/>
    </row>
    <row r="51" spans="1:12" s="671" customFormat="1" ht="12.75" customHeight="1">
      <c r="A51" s="663" t="s">
        <v>76</v>
      </c>
      <c r="B51" s="664">
        <v>248.55600000000001</v>
      </c>
      <c r="C51" s="664">
        <v>1664.521</v>
      </c>
      <c r="D51" s="664">
        <v>1739.2159999999999</v>
      </c>
      <c r="E51" s="664">
        <v>263.31599999999997</v>
      </c>
      <c r="F51" s="664">
        <v>252.703</v>
      </c>
      <c r="G51" s="664">
        <v>863.11099999999999</v>
      </c>
      <c r="H51" s="664">
        <v>1153.9369999999999</v>
      </c>
      <c r="I51" s="665">
        <v>151.55199999999999</v>
      </c>
      <c r="J51" s="667" t="s">
        <v>134</v>
      </c>
      <c r="K51" s="666">
        <v>6336.9119999999994</v>
      </c>
      <c r="L51" s="645"/>
    </row>
    <row r="52" spans="1:12" s="670" customFormat="1" ht="12.75" customHeight="1">
      <c r="A52" s="663" t="s">
        <v>77</v>
      </c>
      <c r="B52" s="664">
        <v>259.65699999999998</v>
      </c>
      <c r="C52" s="664">
        <v>1545.4290000000001</v>
      </c>
      <c r="D52" s="664">
        <v>1656.2090000000001</v>
      </c>
      <c r="E52" s="664">
        <v>240.244</v>
      </c>
      <c r="F52" s="664">
        <v>251.333</v>
      </c>
      <c r="G52" s="664">
        <v>817.38499999999999</v>
      </c>
      <c r="H52" s="664">
        <v>1149.33</v>
      </c>
      <c r="I52" s="665">
        <v>142.761</v>
      </c>
      <c r="J52" s="667" t="s">
        <v>134</v>
      </c>
      <c r="K52" s="666">
        <f>SUM(B52:I52)</f>
        <v>6062.3480000000009</v>
      </c>
      <c r="L52" s="669"/>
    </row>
    <row r="53" spans="1:12" s="670" customFormat="1" ht="12.75" customHeight="1">
      <c r="A53" s="663" t="s">
        <v>78</v>
      </c>
      <c r="B53" s="664">
        <v>265.68900000000002</v>
      </c>
      <c r="C53" s="664">
        <v>1588.306</v>
      </c>
      <c r="D53" s="664">
        <v>1675.5160000000001</v>
      </c>
      <c r="E53" s="664">
        <v>246.01900000000001</v>
      </c>
      <c r="F53" s="664">
        <v>254.50700000000001</v>
      </c>
      <c r="G53" s="664">
        <v>822.88</v>
      </c>
      <c r="H53" s="664">
        <v>1216.578</v>
      </c>
      <c r="I53" s="665">
        <v>144.185</v>
      </c>
      <c r="J53" s="667" t="s">
        <v>134</v>
      </c>
      <c r="K53" s="666">
        <f>SUM(B53:I53)</f>
        <v>6213.6800000000012</v>
      </c>
      <c r="L53" s="669"/>
    </row>
    <row r="54" spans="1:12" s="670" customFormat="1" ht="12.75" customHeight="1">
      <c r="A54" s="663" t="s">
        <v>79</v>
      </c>
      <c r="B54" s="664">
        <v>268.959</v>
      </c>
      <c r="C54" s="664">
        <v>1456.559</v>
      </c>
      <c r="D54" s="664">
        <v>1682.1420000000001</v>
      </c>
      <c r="E54" s="664">
        <v>273.31</v>
      </c>
      <c r="F54" s="664">
        <v>247.88900000000001</v>
      </c>
      <c r="G54" s="664">
        <v>841.649</v>
      </c>
      <c r="H54" s="664">
        <v>1244.6869999999999</v>
      </c>
      <c r="I54" s="665">
        <v>136.108</v>
      </c>
      <c r="J54" s="672" t="s">
        <v>134</v>
      </c>
      <c r="K54" s="666">
        <f>SUM(B54:I54)</f>
        <v>6151.3029999999999</v>
      </c>
      <c r="L54" s="673"/>
    </row>
    <row r="55" spans="1:12" s="670" customFormat="1" ht="12.75" customHeight="1">
      <c r="A55" s="663" t="s">
        <v>80</v>
      </c>
      <c r="B55" s="664">
        <v>272.85700000000003</v>
      </c>
      <c r="C55" s="674">
        <f>1445.798</f>
        <v>1445.798</v>
      </c>
      <c r="D55" s="664">
        <v>1738.4590000000001</v>
      </c>
      <c r="E55" s="664">
        <v>295.02600000000001</v>
      </c>
      <c r="F55" s="664">
        <v>279.971</v>
      </c>
      <c r="G55" s="664">
        <v>861.05600000000004</v>
      </c>
      <c r="H55" s="674">
        <v>1307.181</v>
      </c>
      <c r="I55" s="665">
        <v>143.483</v>
      </c>
      <c r="J55" s="667" t="s">
        <v>134</v>
      </c>
      <c r="K55" s="666">
        <f>SUM(B55:I55)</f>
        <v>6343.8310000000001</v>
      </c>
      <c r="L55" s="669"/>
    </row>
    <row r="56" spans="1:12" s="670" customFormat="1" ht="12.75" customHeight="1">
      <c r="A56" s="663" t="s">
        <v>81</v>
      </c>
      <c r="B56" s="675">
        <v>265.54899999999998</v>
      </c>
      <c r="C56" s="674">
        <f>1502.015-21.692-0.026</f>
        <v>1480.297</v>
      </c>
      <c r="D56" s="664">
        <f>1817.436-0.35</f>
        <v>1817.086</v>
      </c>
      <c r="E56" s="664">
        <v>274.976</v>
      </c>
      <c r="F56" s="664">
        <f>289.346-0.208</f>
        <v>289.13799999999998</v>
      </c>
      <c r="G56" s="664">
        <f>1091.976-224.581-1.681</f>
        <v>865.71400000000006</v>
      </c>
      <c r="H56" s="674">
        <f>1366.027-72-1.709</f>
        <v>1292.318</v>
      </c>
      <c r="I56" s="664">
        <v>146.54300000000001</v>
      </c>
      <c r="J56" s="676" t="s">
        <v>134</v>
      </c>
      <c r="K56" s="666">
        <f>SUM(B56:I56)</f>
        <v>6431.6210000000001</v>
      </c>
      <c r="L56" s="669"/>
    </row>
    <row r="57" spans="1:12" s="670" customFormat="1" ht="12.75" customHeight="1">
      <c r="A57" s="663" t="s">
        <v>82</v>
      </c>
      <c r="B57" s="664">
        <v>252.10300000000001</v>
      </c>
      <c r="C57" s="674">
        <v>1398.779</v>
      </c>
      <c r="D57" s="664">
        <v>1810.8879999999999</v>
      </c>
      <c r="E57" s="664">
        <v>269.50299999999999</v>
      </c>
      <c r="F57" s="664">
        <v>280.16000000000003</v>
      </c>
      <c r="G57" s="664">
        <v>873.274</v>
      </c>
      <c r="H57" s="674">
        <v>1267.569</v>
      </c>
      <c r="I57" s="664">
        <v>145.21700000000001</v>
      </c>
      <c r="J57" s="677" t="s">
        <v>134</v>
      </c>
      <c r="K57" s="678">
        <v>6297.4929999999995</v>
      </c>
      <c r="L57" s="669"/>
    </row>
    <row r="58" spans="1:12" s="670" customFormat="1" ht="12.75" customHeight="1">
      <c r="A58" s="679" t="s">
        <v>280</v>
      </c>
      <c r="B58" s="680">
        <v>255.501</v>
      </c>
      <c r="C58" s="681">
        <v>1538.598</v>
      </c>
      <c r="D58" s="680">
        <v>1854.9680000000001</v>
      </c>
      <c r="E58" s="680">
        <v>247.40100000000001</v>
      </c>
      <c r="F58" s="680">
        <v>310.89600000000002</v>
      </c>
      <c r="G58" s="680">
        <v>776.06399999999996</v>
      </c>
      <c r="H58" s="681">
        <v>1336.271</v>
      </c>
      <c r="I58" s="680">
        <v>142.55500000000001</v>
      </c>
      <c r="J58" s="682" t="s">
        <v>134</v>
      </c>
      <c r="K58" s="683">
        <f>SUM(B58:J58)</f>
        <v>6462.2539999999999</v>
      </c>
      <c r="L58" s="669"/>
    </row>
    <row r="59" spans="1:12" s="670" customFormat="1" ht="12.75" customHeight="1">
      <c r="A59" s="685"/>
      <c r="B59" s="664"/>
      <c r="C59" s="674"/>
      <c r="D59" s="664"/>
      <c r="E59" s="664"/>
      <c r="F59" s="664"/>
      <c r="G59" s="664"/>
      <c r="H59" s="674"/>
      <c r="I59" s="664"/>
      <c r="J59" s="664"/>
      <c r="K59" s="664"/>
      <c r="L59" s="669"/>
    </row>
    <row r="60" spans="1:12" s="646" customFormat="1" ht="17.100000000000001" hidden="1" customHeight="1">
      <c r="B60" s="686">
        <f>[3]UEBERS6!$B$56/B56</f>
        <v>2.2594700036528099E-2</v>
      </c>
      <c r="C60" s="686">
        <f>[3]UEBERS6!$C$56/C56*100</f>
        <v>1.1484181890526022</v>
      </c>
      <c r="D60" s="686">
        <f>[3]UEBERS6!$D$56/D56*100</f>
        <v>1.2107297067942848</v>
      </c>
      <c r="E60" s="686">
        <f>[3]UEBERS6!$E$56/E56*100</f>
        <v>4.7276853252647504</v>
      </c>
      <c r="F60" s="686">
        <f>[3]UEBERS6!$F$56/F56*100</f>
        <v>4.1502673463882305</v>
      </c>
      <c r="G60" s="686">
        <f>[3]UEBERS6!$G$56/G56*100</f>
        <v>7.7392764816093989</v>
      </c>
      <c r="H60" s="686">
        <f>[3]UEBERS6!$H$56/H56*100</f>
        <v>5.8035251385494906</v>
      </c>
      <c r="I60" s="686">
        <f>[3]UEBERS6!$I$56/I56*100</f>
        <v>4.7767549456473528</v>
      </c>
      <c r="J60" s="686"/>
      <c r="K60" s="686">
        <f>K56-K55</f>
        <v>87.789999999999964</v>
      </c>
    </row>
    <row r="61" spans="1:12" s="646" customFormat="1" ht="17.100000000000001" customHeight="1">
      <c r="A61" s="651" t="s">
        <v>238</v>
      </c>
      <c r="B61" s="651" t="s">
        <v>281</v>
      </c>
      <c r="C61" s="651" t="s">
        <v>240</v>
      </c>
      <c r="D61" s="651" t="s">
        <v>241</v>
      </c>
      <c r="E61" s="651" t="s">
        <v>242</v>
      </c>
      <c r="F61" s="651" t="s">
        <v>243</v>
      </c>
      <c r="G61" s="687" t="s">
        <v>244</v>
      </c>
      <c r="I61" s="651" t="s">
        <v>282</v>
      </c>
      <c r="K61" s="688"/>
    </row>
    <row r="62" spans="1:12" ht="12.75" customHeight="1">
      <c r="A62" s="652" t="s">
        <v>61</v>
      </c>
      <c r="B62" s="689">
        <v>192</v>
      </c>
      <c r="C62" s="689">
        <v>157</v>
      </c>
      <c r="D62" s="689">
        <v>271</v>
      </c>
      <c r="E62" s="689">
        <v>183</v>
      </c>
      <c r="F62" s="689">
        <v>174</v>
      </c>
      <c r="G62" s="690">
        <v>977</v>
      </c>
      <c r="I62" s="690">
        <f>6231+987</f>
        <v>7218</v>
      </c>
    </row>
    <row r="63" spans="1:12">
      <c r="A63" s="673" t="s">
        <v>63</v>
      </c>
      <c r="B63" s="691">
        <v>387</v>
      </c>
      <c r="C63" s="691">
        <v>157</v>
      </c>
      <c r="D63" s="691">
        <v>259</v>
      </c>
      <c r="E63" s="691">
        <v>223</v>
      </c>
      <c r="F63" s="691">
        <v>176</v>
      </c>
      <c r="G63" s="692">
        <v>1203</v>
      </c>
      <c r="I63" s="692">
        <v>7115</v>
      </c>
    </row>
    <row r="64" spans="1:12">
      <c r="A64" s="693" t="s">
        <v>64</v>
      </c>
      <c r="B64" s="694">
        <v>323.613</v>
      </c>
      <c r="C64" s="694">
        <v>121.52200000000001</v>
      </c>
      <c r="D64" s="694">
        <v>231.95500000000001</v>
      </c>
      <c r="E64" s="694">
        <v>204.792</v>
      </c>
      <c r="F64" s="694">
        <v>247.69200000000001</v>
      </c>
      <c r="G64" s="695">
        <v>1129.5740000000001</v>
      </c>
      <c r="I64" s="695">
        <v>7173</v>
      </c>
    </row>
    <row r="65" spans="1:9" ht="12.75" customHeight="1">
      <c r="A65" s="693" t="s">
        <v>65</v>
      </c>
      <c r="B65" s="694">
        <f>123.375+178.609</f>
        <v>301.98400000000004</v>
      </c>
      <c r="C65" s="694">
        <v>99.123999999999995</v>
      </c>
      <c r="D65" s="694">
        <v>253.958</v>
      </c>
      <c r="E65" s="694">
        <v>220.71700000000001</v>
      </c>
      <c r="F65" s="694">
        <v>246.643</v>
      </c>
      <c r="G65" s="695">
        <f>SUM(B65:F65)</f>
        <v>1122.4259999999999</v>
      </c>
      <c r="I65" s="695">
        <f>K39+G65+257.493</f>
        <v>7192.0930000000008</v>
      </c>
    </row>
    <row r="66" spans="1:9" ht="12.75" customHeight="1">
      <c r="A66" s="693" t="s">
        <v>66</v>
      </c>
      <c r="B66" s="694">
        <v>269.32100000000003</v>
      </c>
      <c r="C66" s="694">
        <v>97.626000000000005</v>
      </c>
      <c r="D66" s="694">
        <v>290.93900000000002</v>
      </c>
      <c r="E66" s="694">
        <v>239.983</v>
      </c>
      <c r="F66" s="694">
        <v>250.26400000000001</v>
      </c>
      <c r="G66" s="695">
        <f>SUM(B66:F66)</f>
        <v>1148.1329999999998</v>
      </c>
      <c r="I66" s="695">
        <f>K40+G66+43.523+230.968</f>
        <v>7157.5969999999998</v>
      </c>
    </row>
    <row r="67" spans="1:9" ht="12.75" customHeight="1">
      <c r="A67" s="693" t="s">
        <v>67</v>
      </c>
      <c r="B67" s="694">
        <v>231.65799999999999</v>
      </c>
      <c r="C67" s="694">
        <v>108.911</v>
      </c>
      <c r="D67" s="694">
        <v>311.22300000000001</v>
      </c>
      <c r="E67" s="694">
        <v>278.947</v>
      </c>
      <c r="F67" s="694">
        <v>260.67899999999997</v>
      </c>
      <c r="G67" s="695">
        <v>1191.4179999999999</v>
      </c>
      <c r="I67" s="695">
        <v>7214.5770000000002</v>
      </c>
    </row>
    <row r="68" spans="1:9" ht="12.75" hidden="1" customHeight="1">
      <c r="A68" s="693" t="s">
        <v>68</v>
      </c>
      <c r="B68" s="694">
        <f>95.189+127.12</f>
        <v>222.309</v>
      </c>
      <c r="C68" s="694">
        <v>105.00700000000001</v>
      </c>
      <c r="D68" s="694">
        <v>324.875</v>
      </c>
      <c r="E68" s="694">
        <v>314.14299999999997</v>
      </c>
      <c r="F68" s="694">
        <v>275.44299999999998</v>
      </c>
      <c r="G68" s="695">
        <f>SUM(B68:F68)</f>
        <v>1241.777</v>
      </c>
      <c r="I68" s="695">
        <f>K42+G68+307.971</f>
        <v>7473.5830000000005</v>
      </c>
    </row>
    <row r="69" spans="1:9" ht="12.75" hidden="1" customHeight="1">
      <c r="A69" s="693" t="s">
        <v>69</v>
      </c>
      <c r="B69" s="694">
        <v>219.61900000000003</v>
      </c>
      <c r="C69" s="694">
        <v>91.534999999999997</v>
      </c>
      <c r="D69" s="694">
        <v>322.90600000000001</v>
      </c>
      <c r="E69" s="694">
        <v>347.13</v>
      </c>
      <c r="F69" s="694">
        <v>291.58699999999999</v>
      </c>
      <c r="G69" s="695">
        <v>1272.777</v>
      </c>
      <c r="I69" s="695">
        <v>7580.5860000000011</v>
      </c>
    </row>
    <row r="70" spans="1:9" s="670" customFormat="1" ht="12.75" hidden="1" customHeight="1">
      <c r="A70" s="693" t="s">
        <v>70</v>
      </c>
      <c r="B70" s="694">
        <v>211.37200000000001</v>
      </c>
      <c r="C70" s="694">
        <v>90.358000000000004</v>
      </c>
      <c r="D70" s="694">
        <v>301.80500000000001</v>
      </c>
      <c r="E70" s="694">
        <v>341.827</v>
      </c>
      <c r="F70" s="694">
        <v>292.62</v>
      </c>
      <c r="G70" s="695">
        <f>SUM(B70:F70)</f>
        <v>1237.982</v>
      </c>
      <c r="H70" s="645"/>
      <c r="I70" s="695">
        <f>K44+G70+296.969</f>
        <v>7448.7170000000006</v>
      </c>
    </row>
    <row r="71" spans="1:9" s="670" customFormat="1" ht="12.75" customHeight="1">
      <c r="A71" s="693" t="s">
        <v>71</v>
      </c>
      <c r="B71" s="694">
        <f>75.237+140.837</f>
        <v>216.07399999999998</v>
      </c>
      <c r="C71" s="694">
        <v>106.684</v>
      </c>
      <c r="D71" s="694">
        <v>321.66399999999999</v>
      </c>
      <c r="E71" s="694">
        <v>408.82499999999999</v>
      </c>
      <c r="F71" s="694">
        <v>306.70600000000002</v>
      </c>
      <c r="G71" s="695">
        <f>SUM(B71:F71)</f>
        <v>1359.953</v>
      </c>
      <c r="H71" s="645"/>
      <c r="I71" s="695">
        <f>SUM(G71,K45)+325.452</f>
        <v>7773.6969999999992</v>
      </c>
    </row>
    <row r="72" spans="1:9" s="671" customFormat="1">
      <c r="A72" s="693" t="s">
        <v>163</v>
      </c>
      <c r="B72" s="694">
        <v>237.33600000000001</v>
      </c>
      <c r="C72" s="694">
        <v>84.605000000000004</v>
      </c>
      <c r="D72" s="694">
        <v>316.74099999999999</v>
      </c>
      <c r="E72" s="694">
        <v>407.58600000000001</v>
      </c>
      <c r="F72" s="694">
        <v>331.84699999999998</v>
      </c>
      <c r="G72" s="695">
        <f>SUM(B72:F72)</f>
        <v>1378.115</v>
      </c>
      <c r="H72" s="645"/>
      <c r="I72" s="695">
        <f>SUM(G72,K46)+353.67</f>
        <v>7621.954999999999</v>
      </c>
    </row>
    <row r="73" spans="1:9" s="671" customFormat="1" ht="12.75" hidden="1" customHeight="1">
      <c r="A73" s="693" t="s">
        <v>72</v>
      </c>
      <c r="B73" s="694">
        <v>232.89</v>
      </c>
      <c r="C73" s="694">
        <v>95.876999999999995</v>
      </c>
      <c r="D73" s="694">
        <v>328.952</v>
      </c>
      <c r="E73" s="694">
        <v>440.86099999999999</v>
      </c>
      <c r="F73" s="694">
        <v>360.93400000000003</v>
      </c>
      <c r="G73" s="695">
        <v>1459.5139999999999</v>
      </c>
      <c r="H73" s="645"/>
      <c r="I73" s="695">
        <v>7771.7450000000008</v>
      </c>
    </row>
    <row r="74" spans="1:9" s="671" customFormat="1" ht="12.75" hidden="1" customHeight="1">
      <c r="A74" s="693" t="s">
        <v>73</v>
      </c>
      <c r="B74" s="694">
        <v>232.79499999999999</v>
      </c>
      <c r="C74" s="694">
        <v>83.938000000000002</v>
      </c>
      <c r="D74" s="694">
        <v>325.34500000000003</v>
      </c>
      <c r="E74" s="694">
        <v>427.74</v>
      </c>
      <c r="F74" s="694">
        <v>369.64600000000002</v>
      </c>
      <c r="G74" s="695">
        <v>1439.4639999999999</v>
      </c>
      <c r="H74" s="645"/>
      <c r="I74" s="695">
        <v>7933.4219999999987</v>
      </c>
    </row>
    <row r="75" spans="1:9" s="671" customFormat="1" ht="12.75" hidden="1" customHeight="1">
      <c r="A75" s="693" t="s">
        <v>74</v>
      </c>
      <c r="B75" s="694">
        <v>206.39400000000001</v>
      </c>
      <c r="C75" s="694">
        <v>85.003</v>
      </c>
      <c r="D75" s="694">
        <v>327.60700000000003</v>
      </c>
      <c r="E75" s="694">
        <v>438.82100000000003</v>
      </c>
      <c r="F75" s="694">
        <v>375.73700000000002</v>
      </c>
      <c r="G75" s="695">
        <v>1433.5620000000001</v>
      </c>
      <c r="H75" s="645"/>
      <c r="I75" s="695">
        <v>7761.8689999999988</v>
      </c>
    </row>
    <row r="76" spans="1:9" s="671" customFormat="1" ht="12.75" customHeight="1">
      <c r="A76" s="693" t="s">
        <v>75</v>
      </c>
      <c r="B76" s="694">
        <v>199.959</v>
      </c>
      <c r="C76" s="694">
        <v>95.903000000000006</v>
      </c>
      <c r="D76" s="694">
        <v>277.78800000000001</v>
      </c>
      <c r="E76" s="694">
        <v>474.41199999999998</v>
      </c>
      <c r="F76" s="694">
        <v>323.202</v>
      </c>
      <c r="G76" s="695">
        <v>1371.2640000000001</v>
      </c>
      <c r="H76" s="645"/>
      <c r="I76" s="695">
        <v>7773.1919999999991</v>
      </c>
    </row>
    <row r="77" spans="1:9" s="671" customFormat="1" ht="12.75" customHeight="1">
      <c r="A77" s="693" t="s">
        <v>76</v>
      </c>
      <c r="B77" s="694">
        <v>232.095</v>
      </c>
      <c r="C77" s="694">
        <v>96.322000000000003</v>
      </c>
      <c r="D77" s="694">
        <v>266.89400000000001</v>
      </c>
      <c r="E77" s="694">
        <v>504.62299999999999</v>
      </c>
      <c r="F77" s="694">
        <v>297.577</v>
      </c>
      <c r="G77" s="695">
        <v>1397.511</v>
      </c>
      <c r="H77" s="645"/>
      <c r="I77" s="695">
        <v>8112.1139999999987</v>
      </c>
    </row>
    <row r="78" spans="1:9" s="670" customFormat="1" ht="12.75" customHeight="1">
      <c r="A78" s="693" t="s">
        <v>77</v>
      </c>
      <c r="B78" s="694">
        <v>228.542</v>
      </c>
      <c r="C78" s="694">
        <v>105.14</v>
      </c>
      <c r="D78" s="694">
        <v>276.49299999999999</v>
      </c>
      <c r="E78" s="694">
        <v>567.096</v>
      </c>
      <c r="F78" s="694">
        <v>320.96800000000002</v>
      </c>
      <c r="G78" s="695">
        <f t="shared" ref="G78:G84" si="0">SUM(B78:F78)</f>
        <v>1498.239</v>
      </c>
      <c r="H78" s="645"/>
      <c r="I78" s="695">
        <f>SUM(K52,G78)+379.908</f>
        <v>7940.4950000000017</v>
      </c>
    </row>
    <row r="79" spans="1:9" s="670" customFormat="1" ht="12.75" customHeight="1">
      <c r="A79" s="693" t="s">
        <v>78</v>
      </c>
      <c r="B79" s="694">
        <v>242.33699999999999</v>
      </c>
      <c r="C79" s="694">
        <v>87.120999999999995</v>
      </c>
      <c r="D79" s="694">
        <v>266.541</v>
      </c>
      <c r="E79" s="694">
        <v>633.60500000000002</v>
      </c>
      <c r="F79" s="694">
        <v>306.70999999999998</v>
      </c>
      <c r="G79" s="695">
        <f t="shared" si="0"/>
        <v>1536.3140000000001</v>
      </c>
      <c r="H79" s="645"/>
      <c r="I79" s="695">
        <v>8188.6170000000011</v>
      </c>
    </row>
    <row r="80" spans="1:9" s="670" customFormat="1" ht="12.75" customHeight="1">
      <c r="A80" s="663" t="s">
        <v>79</v>
      </c>
      <c r="B80" s="694">
        <v>294.50799999999998</v>
      </c>
      <c r="C80" s="697" t="s">
        <v>134</v>
      </c>
      <c r="D80" s="694">
        <v>260.38499999999999</v>
      </c>
      <c r="E80" s="694">
        <v>638.54999999999995</v>
      </c>
      <c r="F80" s="694">
        <v>303.589</v>
      </c>
      <c r="G80" s="695">
        <f t="shared" si="0"/>
        <v>1497.0319999999999</v>
      </c>
      <c r="H80" s="645"/>
      <c r="I80" s="695">
        <v>8030.8969999999999</v>
      </c>
    </row>
    <row r="81" spans="1:12" s="670" customFormat="1" ht="12.75" customHeight="1">
      <c r="A81" s="663" t="s">
        <v>80</v>
      </c>
      <c r="B81" s="694">
        <v>286.24900000000002</v>
      </c>
      <c r="C81" s="697" t="s">
        <v>134</v>
      </c>
      <c r="D81" s="694">
        <v>269.67899999999997</v>
      </c>
      <c r="E81" s="694">
        <v>705.67199999999991</v>
      </c>
      <c r="F81" s="694">
        <v>312.83100000000002</v>
      </c>
      <c r="G81" s="695">
        <f t="shared" si="0"/>
        <v>1574.431</v>
      </c>
      <c r="H81" s="645"/>
      <c r="I81" s="695">
        <v>8315.16</v>
      </c>
    </row>
    <row r="82" spans="1:12" s="670" customFormat="1" ht="12.75" customHeight="1">
      <c r="A82" s="663" t="s">
        <v>81</v>
      </c>
      <c r="B82" s="694">
        <v>292.16699999999997</v>
      </c>
      <c r="C82" s="697" t="s">
        <v>134</v>
      </c>
      <c r="D82" s="694">
        <f>241.463-1.333</f>
        <v>240.13</v>
      </c>
      <c r="E82" s="697" t="s">
        <v>134</v>
      </c>
      <c r="F82" s="694">
        <f>1163.159-125.885-0.715</f>
        <v>1036.5590000000002</v>
      </c>
      <c r="G82" s="695">
        <f t="shared" si="0"/>
        <v>1568.8560000000002</v>
      </c>
      <c r="H82" s="645"/>
      <c r="I82" s="695">
        <f>F100</f>
        <v>8444.6350000000002</v>
      </c>
      <c r="J82" s="698"/>
      <c r="K82" s="698"/>
      <c r="L82" s="669"/>
    </row>
    <row r="83" spans="1:12" s="670" customFormat="1" ht="12.75" customHeight="1">
      <c r="A83" s="663" t="s">
        <v>82</v>
      </c>
      <c r="B83" s="694">
        <v>298.166</v>
      </c>
      <c r="C83" s="697" t="s">
        <v>134</v>
      </c>
      <c r="D83" s="694">
        <v>214.21100000000001</v>
      </c>
      <c r="E83" s="697" t="s">
        <v>134</v>
      </c>
      <c r="F83" s="694">
        <v>996.44100000000003</v>
      </c>
      <c r="G83" s="695">
        <v>1508.818</v>
      </c>
      <c r="H83" s="645"/>
      <c r="I83" s="695">
        <v>8211.9989999999998</v>
      </c>
      <c r="J83" s="698"/>
      <c r="K83" s="698"/>
      <c r="L83" s="669"/>
    </row>
    <row r="84" spans="1:12" s="670" customFormat="1" ht="12.75" customHeight="1">
      <c r="A84" s="679" t="s">
        <v>280</v>
      </c>
      <c r="B84" s="699">
        <v>277.97399999999999</v>
      </c>
      <c r="C84" s="700" t="s">
        <v>134</v>
      </c>
      <c r="D84" s="701">
        <v>191.38399999999999</v>
      </c>
      <c r="E84" s="700" t="s">
        <v>134</v>
      </c>
      <c r="F84" s="701">
        <v>1100.8630000000001</v>
      </c>
      <c r="G84" s="702">
        <f t="shared" si="0"/>
        <v>1570.221</v>
      </c>
      <c r="H84" s="645"/>
      <c r="I84" s="702">
        <f>K58+G84+415.469</f>
        <v>8447.9439999999995</v>
      </c>
      <c r="J84" s="698"/>
      <c r="K84" s="698"/>
      <c r="L84" s="669"/>
    </row>
    <row r="85" spans="1:12" s="670" customFormat="1" ht="12.75" customHeight="1">
      <c r="A85" s="685"/>
      <c r="B85" s="664"/>
      <c r="C85" s="703"/>
      <c r="D85" s="664"/>
      <c r="E85" s="703"/>
      <c r="F85" s="664"/>
      <c r="G85" s="664"/>
      <c r="H85" s="704"/>
      <c r="I85" s="664"/>
      <c r="J85" s="698"/>
      <c r="K85" s="698"/>
      <c r="L85" s="669"/>
    </row>
    <row r="86" spans="1:12" s="670" customFormat="1" ht="12.75" hidden="1" customHeight="1">
      <c r="A86" s="685"/>
      <c r="B86" s="705">
        <f>[3]UEBERS6!$B$80/B82*100</f>
        <v>2.7381600249172564</v>
      </c>
      <c r="C86" s="706"/>
      <c r="D86" s="705">
        <f>[3]UEBERS6!$D$80/D82*100</f>
        <v>7.0794986049223336</v>
      </c>
      <c r="E86" s="706"/>
      <c r="F86" s="705">
        <f>[3]UEBERS6!$F$80/F82*100</f>
        <v>1.6400417149433844</v>
      </c>
      <c r="G86" s="686">
        <f>G82-G81</f>
        <v>-5.5749999999998181</v>
      </c>
      <c r="H86" s="705"/>
      <c r="I86" s="705">
        <f>[3]UEBERS6!$I$80/I82*100</f>
        <v>3.0907197291534803</v>
      </c>
      <c r="J86" s="698"/>
      <c r="K86" s="698"/>
      <c r="L86" s="669"/>
    </row>
    <row r="87" spans="1:12" s="696" customFormat="1">
      <c r="B87" s="646"/>
      <c r="C87" s="707" t="s">
        <v>246</v>
      </c>
      <c r="D87" s="646"/>
      <c r="E87" s="646"/>
      <c r="F87" s="646"/>
      <c r="G87" s="688"/>
    </row>
    <row r="88" spans="1:12" s="696" customFormat="1" ht="14.25">
      <c r="A88" s="651" t="s">
        <v>238</v>
      </c>
      <c r="B88" s="708" t="s">
        <v>247</v>
      </c>
      <c r="C88" s="708" t="s">
        <v>248</v>
      </c>
      <c r="D88" s="708" t="s">
        <v>249</v>
      </c>
      <c r="E88" s="708" t="s">
        <v>250</v>
      </c>
      <c r="F88" s="651" t="s">
        <v>282</v>
      </c>
    </row>
    <row r="89" spans="1:12" s="696" customFormat="1">
      <c r="A89" s="709" t="s">
        <v>71</v>
      </c>
      <c r="B89" s="710">
        <f>SUM($B$45:$C$45)</f>
        <v>2050.0140000000001</v>
      </c>
      <c r="C89" s="656">
        <f>SUM($D$45:$F$45,$I$45)</f>
        <v>2187.4630000000002</v>
      </c>
      <c r="D89" s="656">
        <f>SUM($G$45:$H$45)</f>
        <v>1850.8150000000001</v>
      </c>
      <c r="E89" s="711">
        <f>SUM($B$71:$F$71)</f>
        <v>1359.953</v>
      </c>
      <c r="F89" s="666">
        <f>SUM(B89:E89)+325.452</f>
        <v>7773.697000000001</v>
      </c>
    </row>
    <row r="90" spans="1:12" s="696" customFormat="1">
      <c r="A90" s="712" t="s">
        <v>168</v>
      </c>
      <c r="B90" s="710">
        <f>SUM($B$46:$C$46)</f>
        <v>1940.289</v>
      </c>
      <c r="C90" s="656">
        <f>SUM($D$46:$F$46,$I$46)</f>
        <v>2093.7040000000002</v>
      </c>
      <c r="D90" s="656">
        <f>SUM($G$46:$H$46)</f>
        <v>1856.1769999999999</v>
      </c>
      <c r="E90" s="711">
        <f>SUM($B$72:$F$72)</f>
        <v>1378.115</v>
      </c>
      <c r="F90" s="666">
        <f>SUM(B90:E90)+353.67</f>
        <v>7621.9549999999999</v>
      </c>
    </row>
    <row r="91" spans="1:12" s="696" customFormat="1" hidden="1">
      <c r="A91" s="712" t="s">
        <v>72</v>
      </c>
      <c r="B91" s="710">
        <f>SUM($B$47:$C$47)</f>
        <v>1917.1859999999999</v>
      </c>
      <c r="C91" s="656">
        <f>SUM($D$47:$F$47,$I$47)</f>
        <v>2134.7819999999997</v>
      </c>
      <c r="D91" s="656">
        <f>SUM($G$47:$H$47)</f>
        <v>1911.1550000000002</v>
      </c>
      <c r="E91" s="711">
        <f>SUM($B$73:$F$73)</f>
        <v>1459.5139999999999</v>
      </c>
      <c r="F91" s="666">
        <v>7771.7450000000008</v>
      </c>
    </row>
    <row r="92" spans="1:12" s="696" customFormat="1" hidden="1">
      <c r="A92" s="712" t="s">
        <v>73</v>
      </c>
      <c r="B92" s="710">
        <f>SUM($B$48:$C$48)</f>
        <v>1948.0840000000003</v>
      </c>
      <c r="C92" s="656">
        <f>SUM($D$48:$F$48,$I$48)</f>
        <v>2241.3420000000001</v>
      </c>
      <c r="D92" s="656">
        <f>SUM($G$48:$H$48)</f>
        <v>1974.1030000000001</v>
      </c>
      <c r="E92" s="711">
        <f>SUM($B$74:$F$74)</f>
        <v>1439.4639999999999</v>
      </c>
      <c r="F92" s="666">
        <v>7933.4219999999987</v>
      </c>
    </row>
    <row r="93" spans="1:12" ht="11.25" hidden="1" customHeight="1">
      <c r="A93" s="712" t="s">
        <v>74</v>
      </c>
      <c r="B93" s="710">
        <f>SUM($B$49:$C$49)</f>
        <v>1888.0720000000001</v>
      </c>
      <c r="C93" s="656">
        <f>SUM($D$49:$F$49,$I$49)</f>
        <v>2197.0879999999997</v>
      </c>
      <c r="D93" s="656">
        <f>SUM($G$49:$H$49)</f>
        <v>1915.3989999999999</v>
      </c>
      <c r="E93" s="711">
        <f>SUM($B$75:$F$75)</f>
        <v>1433.5620000000001</v>
      </c>
      <c r="F93" s="666">
        <v>7761.8689999999988</v>
      </c>
      <c r="G93" s="696"/>
    </row>
    <row r="94" spans="1:12">
      <c r="A94" s="712" t="s">
        <v>75</v>
      </c>
      <c r="B94" s="710">
        <f>SUM($B$50:$C$50)</f>
        <v>1862.2330000000002</v>
      </c>
      <c r="C94" s="656">
        <f>SUM($D$50:$F$50,$I$50)</f>
        <v>2296.8710000000001</v>
      </c>
      <c r="D94" s="656">
        <f>SUM($G$50:$H$50)</f>
        <v>1902.5239999999999</v>
      </c>
      <c r="E94" s="711">
        <f>SUM($B$76:$F$76)</f>
        <v>1371.2640000000001</v>
      </c>
      <c r="F94" s="666">
        <v>7773.1919999999991</v>
      </c>
      <c r="G94" s="696"/>
    </row>
    <row r="95" spans="1:12">
      <c r="A95" s="712" t="s">
        <v>76</v>
      </c>
      <c r="B95" s="710">
        <f>SUM($B$51:$C$51)</f>
        <v>1913.077</v>
      </c>
      <c r="C95" s="656">
        <f>SUM($D$51:$F$51,$I$51)</f>
        <v>2406.7870000000003</v>
      </c>
      <c r="D95" s="656">
        <f>SUM($G$51:$H$51)</f>
        <v>2017.0479999999998</v>
      </c>
      <c r="E95" s="711">
        <f>SUM($B$77:$F$77)</f>
        <v>1397.511</v>
      </c>
      <c r="F95" s="666">
        <v>8112.1139999999987</v>
      </c>
    </row>
    <row r="96" spans="1:12">
      <c r="A96" s="712" t="s">
        <v>77</v>
      </c>
      <c r="B96" s="710">
        <f>SUM($B$52:$C$52)</f>
        <v>1805.086</v>
      </c>
      <c r="C96" s="656">
        <f>SUM($D$52:$F$52,$I$52)</f>
        <v>2290.547</v>
      </c>
      <c r="D96" s="656">
        <f>SUM($G$52:$H$52)</f>
        <v>1966.7149999999999</v>
      </c>
      <c r="E96" s="711">
        <f>SUM($B$78:$F$78)</f>
        <v>1498.239</v>
      </c>
      <c r="F96" s="666">
        <v>7940.4950000000017</v>
      </c>
    </row>
    <row r="97" spans="1:13">
      <c r="A97" s="712" t="s">
        <v>78</v>
      </c>
      <c r="B97" s="710">
        <f>SUM($B$53:$C$53)</f>
        <v>1853.9950000000001</v>
      </c>
      <c r="C97" s="656">
        <f>SUM($D$53:$F$53,$I$53)</f>
        <v>2320.2269999999999</v>
      </c>
      <c r="D97" s="656">
        <f>SUM($G$53:$H$53)</f>
        <v>2039.4580000000001</v>
      </c>
      <c r="E97" s="711">
        <f>SUM($B$79:$F$79)</f>
        <v>1536.3140000000001</v>
      </c>
      <c r="F97" s="666">
        <v>8188.6170000000011</v>
      </c>
    </row>
    <row r="98" spans="1:13">
      <c r="A98" s="712" t="s">
        <v>79</v>
      </c>
      <c r="B98" s="710">
        <f>SUM($B$54:$C$54)</f>
        <v>1725.518</v>
      </c>
      <c r="C98" s="656">
        <f>SUM($D$54:$F$54,$I$54)</f>
        <v>2339.4490000000001</v>
      </c>
      <c r="D98" s="656">
        <f>SUM($G$54:$H$54)</f>
        <v>2086.3359999999998</v>
      </c>
      <c r="E98" s="711">
        <f>SUM($B$80:$F$80)</f>
        <v>1497.0319999999999</v>
      </c>
      <c r="F98" s="678">
        <v>8030.8969999999999</v>
      </c>
    </row>
    <row r="99" spans="1:13">
      <c r="A99" s="712" t="s">
        <v>80</v>
      </c>
      <c r="B99" s="710">
        <f>SUM($B$55:$C$55)</f>
        <v>1718.655</v>
      </c>
      <c r="C99" s="656">
        <f>SUM($D$55:$F$55,$I$55)</f>
        <v>2456.9390000000003</v>
      </c>
      <c r="D99" s="656">
        <f>SUM($G$55:$H$55)</f>
        <v>2168.2370000000001</v>
      </c>
      <c r="E99" s="711">
        <f>SUM($B$81:$F$81)</f>
        <v>1574.431</v>
      </c>
      <c r="F99" s="666">
        <v>8315.16</v>
      </c>
      <c r="G99" s="669"/>
    </row>
    <row r="100" spans="1:13" s="670" customFormat="1" ht="12.75" customHeight="1">
      <c r="A100" s="663" t="s">
        <v>81</v>
      </c>
      <c r="B100" s="710">
        <f>SUM(B56:C56)</f>
        <v>1745.846</v>
      </c>
      <c r="C100" s="656">
        <f>SUM(D56:F56,I56)</f>
        <v>2527.7429999999999</v>
      </c>
      <c r="D100" s="656">
        <f>SUM(G56:H56)</f>
        <v>2158.0320000000002</v>
      </c>
      <c r="E100" s="711">
        <f>G82</f>
        <v>1568.8560000000002</v>
      </c>
      <c r="F100" s="666">
        <f>SUM(B100:E100)+444.158</f>
        <v>8444.6350000000002</v>
      </c>
      <c r="G100" s="704"/>
      <c r="H100" s="645"/>
      <c r="I100" s="704"/>
      <c r="J100" s="698"/>
      <c r="K100" s="698"/>
      <c r="L100" s="669"/>
      <c r="M100" s="645"/>
    </row>
    <row r="101" spans="1:13" s="670" customFormat="1" ht="12.75" customHeight="1">
      <c r="A101" s="663" t="s">
        <v>82</v>
      </c>
      <c r="B101" s="710">
        <v>1650.8820000000001</v>
      </c>
      <c r="C101" s="656">
        <v>2505.768</v>
      </c>
      <c r="D101" s="656">
        <v>2140.8429999999998</v>
      </c>
      <c r="E101" s="711">
        <v>1508.818</v>
      </c>
      <c r="F101" s="666">
        <v>8211.9989999999998</v>
      </c>
      <c r="G101" s="704"/>
      <c r="H101" s="645"/>
      <c r="I101" s="704"/>
      <c r="J101" s="698"/>
      <c r="K101" s="698"/>
      <c r="L101" s="669"/>
      <c r="M101" s="645"/>
    </row>
    <row r="102" spans="1:13" s="670" customFormat="1" ht="12.75" customHeight="1">
      <c r="A102" s="684" t="s">
        <v>237</v>
      </c>
      <c r="B102" s="713">
        <v>1794.0989999999999</v>
      </c>
      <c r="C102" s="714">
        <v>2555.8200000000002</v>
      </c>
      <c r="D102" s="714">
        <v>2112.335</v>
      </c>
      <c r="E102" s="715">
        <v>1570.221</v>
      </c>
      <c r="F102" s="716">
        <f>SUM(B102:E102)+415.469</f>
        <v>8447.9439999999995</v>
      </c>
      <c r="G102" s="704"/>
      <c r="H102" s="704"/>
      <c r="I102" s="704"/>
      <c r="J102" s="698"/>
      <c r="K102" s="698"/>
      <c r="L102" s="669"/>
      <c r="M102" s="645"/>
    </row>
    <row r="103" spans="1:13" ht="7.5" customHeight="1">
      <c r="A103" s="696"/>
      <c r="B103" s="696"/>
      <c r="C103" s="696"/>
      <c r="D103" s="696"/>
      <c r="E103" s="696"/>
      <c r="F103" s="696"/>
    </row>
    <row r="104" spans="1:13">
      <c r="A104" s="717" t="s">
        <v>251</v>
      </c>
      <c r="B104" s="696"/>
      <c r="C104" s="696"/>
      <c r="D104" s="696"/>
      <c r="E104" s="696"/>
      <c r="F104" s="696"/>
    </row>
    <row r="105" spans="1:13">
      <c r="A105" s="717" t="s">
        <v>252</v>
      </c>
      <c r="B105" s="696"/>
      <c r="C105" s="696"/>
      <c r="D105" s="696"/>
      <c r="E105" s="696"/>
      <c r="F105" s="696"/>
    </row>
    <row r="106" spans="1:13">
      <c r="A106" s="717" t="s">
        <v>283</v>
      </c>
      <c r="B106" s="696"/>
      <c r="C106" s="696"/>
      <c r="D106" s="696"/>
      <c r="E106" s="696"/>
      <c r="F106" s="696"/>
    </row>
    <row r="107" spans="1:13">
      <c r="A107" s="696" t="s">
        <v>284</v>
      </c>
      <c r="B107" s="696"/>
      <c r="C107" s="696"/>
      <c r="D107" s="696"/>
      <c r="E107" s="696"/>
      <c r="F107" s="696"/>
    </row>
    <row r="108" spans="1:13">
      <c r="A108" s="717" t="s">
        <v>285</v>
      </c>
      <c r="B108" s="696"/>
      <c r="C108" s="696"/>
      <c r="D108" s="696"/>
      <c r="E108" s="696"/>
    </row>
    <row r="109" spans="1:13" ht="12" customHeight="1">
      <c r="A109" s="717" t="s">
        <v>286</v>
      </c>
      <c r="B109" s="696"/>
      <c r="C109" s="696"/>
      <c r="D109" s="696"/>
      <c r="E109" s="696"/>
    </row>
    <row r="110" spans="1:13">
      <c r="A110" s="696" t="s">
        <v>257</v>
      </c>
    </row>
    <row r="111" spans="1:13">
      <c r="A111" s="696" t="s">
        <v>258</v>
      </c>
      <c r="M111" s="670"/>
    </row>
    <row r="112" spans="1:13">
      <c r="A112" s="696" t="s">
        <v>259</v>
      </c>
      <c r="M112" s="670"/>
    </row>
    <row r="113" spans="1:1">
      <c r="A113" s="718" t="s">
        <v>260</v>
      </c>
    </row>
  </sheetData>
  <sheetProtection selectLockedCells="1" selectUnlockedCells="1"/>
  <pageMargins left="0.78740157480314965" right="0.78740157480314965" top="0.98425196850393704" bottom="0.98425196850393704" header="0.51181102362204722" footer="0.51181102362204722"/>
  <pageSetup paperSize="9" scale="77" firstPageNumber="0" orientation="portrait" horizontalDpi="300" verticalDpi="300" r:id="rId1"/>
  <headerFooter alignWithMargins="0">
    <oddHeader>&amp;LBundesanstalt für Landwirtschaft
und Ernährung Ref. 423&amp;CStruktur der Mühlenwirtschaft
WJ 2012/13</oddHeader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showGridLines="0" zoomScaleNormal="100" workbookViewId="0">
      <selection sqref="A1:G17"/>
    </sheetView>
  </sheetViews>
  <sheetFormatPr baseColWidth="10" defaultColWidth="9.7109375" defaultRowHeight="12.75"/>
  <cols>
    <col min="1" max="1" width="10.5703125" style="723" customWidth="1"/>
    <col min="2" max="5" width="7.28515625" style="723" customWidth="1"/>
    <col min="6" max="6" width="6.5703125" style="723" customWidth="1"/>
    <col min="7" max="8" width="7.28515625" style="723" customWidth="1"/>
    <col min="9" max="9" width="6.7109375" style="723" customWidth="1"/>
    <col min="10" max="10" width="7.28515625" style="723" customWidth="1"/>
    <col min="11" max="11" width="9.140625" style="723" customWidth="1"/>
    <col min="12" max="248" width="9.7109375" style="723"/>
    <col min="249" max="249" width="10.5703125" style="723" customWidth="1"/>
    <col min="250" max="253" width="7.28515625" style="723" customWidth="1"/>
    <col min="254" max="254" width="6.5703125" style="723" customWidth="1"/>
    <col min="255" max="256" width="7.28515625" style="723" customWidth="1"/>
    <col min="257" max="257" width="6.7109375" style="723" customWidth="1"/>
    <col min="258" max="258" width="7.28515625" style="723" customWidth="1"/>
    <col min="259" max="259" width="9.140625" style="723" customWidth="1"/>
    <col min="260" max="504" width="9.7109375" style="723"/>
    <col min="505" max="505" width="10.5703125" style="723" customWidth="1"/>
    <col min="506" max="509" width="7.28515625" style="723" customWidth="1"/>
    <col min="510" max="510" width="6.5703125" style="723" customWidth="1"/>
    <col min="511" max="512" width="7.28515625" style="723" customWidth="1"/>
    <col min="513" max="513" width="6.7109375" style="723" customWidth="1"/>
    <col min="514" max="514" width="7.28515625" style="723" customWidth="1"/>
    <col min="515" max="515" width="9.140625" style="723" customWidth="1"/>
    <col min="516" max="760" width="9.7109375" style="723"/>
    <col min="761" max="761" width="10.5703125" style="723" customWidth="1"/>
    <col min="762" max="765" width="7.28515625" style="723" customWidth="1"/>
    <col min="766" max="766" width="6.5703125" style="723" customWidth="1"/>
    <col min="767" max="768" width="7.28515625" style="723" customWidth="1"/>
    <col min="769" max="769" width="6.7109375" style="723" customWidth="1"/>
    <col min="770" max="770" width="7.28515625" style="723" customWidth="1"/>
    <col min="771" max="771" width="9.140625" style="723" customWidth="1"/>
    <col min="772" max="1016" width="9.7109375" style="723"/>
    <col min="1017" max="1017" width="10.5703125" style="723" customWidth="1"/>
    <col min="1018" max="1021" width="7.28515625" style="723" customWidth="1"/>
    <col min="1022" max="1022" width="6.5703125" style="723" customWidth="1"/>
    <col min="1023" max="1024" width="7.28515625" style="723" customWidth="1"/>
    <col min="1025" max="1025" width="6.7109375" style="723" customWidth="1"/>
    <col min="1026" max="1026" width="7.28515625" style="723" customWidth="1"/>
    <col min="1027" max="1027" width="9.140625" style="723" customWidth="1"/>
    <col min="1028" max="1272" width="9.7109375" style="723"/>
    <col min="1273" max="1273" width="10.5703125" style="723" customWidth="1"/>
    <col min="1274" max="1277" width="7.28515625" style="723" customWidth="1"/>
    <col min="1278" max="1278" width="6.5703125" style="723" customWidth="1"/>
    <col min="1279" max="1280" width="7.28515625" style="723" customWidth="1"/>
    <col min="1281" max="1281" width="6.7109375" style="723" customWidth="1"/>
    <col min="1282" max="1282" width="7.28515625" style="723" customWidth="1"/>
    <col min="1283" max="1283" width="9.140625" style="723" customWidth="1"/>
    <col min="1284" max="1528" width="9.7109375" style="723"/>
    <col min="1529" max="1529" width="10.5703125" style="723" customWidth="1"/>
    <col min="1530" max="1533" width="7.28515625" style="723" customWidth="1"/>
    <col min="1534" max="1534" width="6.5703125" style="723" customWidth="1"/>
    <col min="1535" max="1536" width="7.28515625" style="723" customWidth="1"/>
    <col min="1537" max="1537" width="6.7109375" style="723" customWidth="1"/>
    <col min="1538" max="1538" width="7.28515625" style="723" customWidth="1"/>
    <col min="1539" max="1539" width="9.140625" style="723" customWidth="1"/>
    <col min="1540" max="1784" width="9.7109375" style="723"/>
    <col min="1785" max="1785" width="10.5703125" style="723" customWidth="1"/>
    <col min="1786" max="1789" width="7.28515625" style="723" customWidth="1"/>
    <col min="1790" max="1790" width="6.5703125" style="723" customWidth="1"/>
    <col min="1791" max="1792" width="7.28515625" style="723" customWidth="1"/>
    <col min="1793" max="1793" width="6.7109375" style="723" customWidth="1"/>
    <col min="1794" max="1794" width="7.28515625" style="723" customWidth="1"/>
    <col min="1795" max="1795" width="9.140625" style="723" customWidth="1"/>
    <col min="1796" max="2040" width="9.7109375" style="723"/>
    <col min="2041" max="2041" width="10.5703125" style="723" customWidth="1"/>
    <col min="2042" max="2045" width="7.28515625" style="723" customWidth="1"/>
    <col min="2046" max="2046" width="6.5703125" style="723" customWidth="1"/>
    <col min="2047" max="2048" width="7.28515625" style="723" customWidth="1"/>
    <col min="2049" max="2049" width="6.7109375" style="723" customWidth="1"/>
    <col min="2050" max="2050" width="7.28515625" style="723" customWidth="1"/>
    <col min="2051" max="2051" width="9.140625" style="723" customWidth="1"/>
    <col min="2052" max="2296" width="9.7109375" style="723"/>
    <col min="2297" max="2297" width="10.5703125" style="723" customWidth="1"/>
    <col min="2298" max="2301" width="7.28515625" style="723" customWidth="1"/>
    <col min="2302" max="2302" width="6.5703125" style="723" customWidth="1"/>
    <col min="2303" max="2304" width="7.28515625" style="723" customWidth="1"/>
    <col min="2305" max="2305" width="6.7109375" style="723" customWidth="1"/>
    <col min="2306" max="2306" width="7.28515625" style="723" customWidth="1"/>
    <col min="2307" max="2307" width="9.140625" style="723" customWidth="1"/>
    <col min="2308" max="2552" width="9.7109375" style="723"/>
    <col min="2553" max="2553" width="10.5703125" style="723" customWidth="1"/>
    <col min="2554" max="2557" width="7.28515625" style="723" customWidth="1"/>
    <col min="2558" max="2558" width="6.5703125" style="723" customWidth="1"/>
    <col min="2559" max="2560" width="7.28515625" style="723" customWidth="1"/>
    <col min="2561" max="2561" width="6.7109375" style="723" customWidth="1"/>
    <col min="2562" max="2562" width="7.28515625" style="723" customWidth="1"/>
    <col min="2563" max="2563" width="9.140625" style="723" customWidth="1"/>
    <col min="2564" max="2808" width="9.7109375" style="723"/>
    <col min="2809" max="2809" width="10.5703125" style="723" customWidth="1"/>
    <col min="2810" max="2813" width="7.28515625" style="723" customWidth="1"/>
    <col min="2814" max="2814" width="6.5703125" style="723" customWidth="1"/>
    <col min="2815" max="2816" width="7.28515625" style="723" customWidth="1"/>
    <col min="2817" max="2817" width="6.7109375" style="723" customWidth="1"/>
    <col min="2818" max="2818" width="7.28515625" style="723" customWidth="1"/>
    <col min="2819" max="2819" width="9.140625" style="723" customWidth="1"/>
    <col min="2820" max="3064" width="9.7109375" style="723"/>
    <col min="3065" max="3065" width="10.5703125" style="723" customWidth="1"/>
    <col min="3066" max="3069" width="7.28515625" style="723" customWidth="1"/>
    <col min="3070" max="3070" width="6.5703125" style="723" customWidth="1"/>
    <col min="3071" max="3072" width="7.28515625" style="723" customWidth="1"/>
    <col min="3073" max="3073" width="6.7109375" style="723" customWidth="1"/>
    <col min="3074" max="3074" width="7.28515625" style="723" customWidth="1"/>
    <col min="3075" max="3075" width="9.140625" style="723" customWidth="1"/>
    <col min="3076" max="3320" width="9.7109375" style="723"/>
    <col min="3321" max="3321" width="10.5703125" style="723" customWidth="1"/>
    <col min="3322" max="3325" width="7.28515625" style="723" customWidth="1"/>
    <col min="3326" max="3326" width="6.5703125" style="723" customWidth="1"/>
    <col min="3327" max="3328" width="7.28515625" style="723" customWidth="1"/>
    <col min="3329" max="3329" width="6.7109375" style="723" customWidth="1"/>
    <col min="3330" max="3330" width="7.28515625" style="723" customWidth="1"/>
    <col min="3331" max="3331" width="9.140625" style="723" customWidth="1"/>
    <col min="3332" max="3576" width="9.7109375" style="723"/>
    <col min="3577" max="3577" width="10.5703125" style="723" customWidth="1"/>
    <col min="3578" max="3581" width="7.28515625" style="723" customWidth="1"/>
    <col min="3582" max="3582" width="6.5703125" style="723" customWidth="1"/>
    <col min="3583" max="3584" width="7.28515625" style="723" customWidth="1"/>
    <col min="3585" max="3585" width="6.7109375" style="723" customWidth="1"/>
    <col min="3586" max="3586" width="7.28515625" style="723" customWidth="1"/>
    <col min="3587" max="3587" width="9.140625" style="723" customWidth="1"/>
    <col min="3588" max="3832" width="9.7109375" style="723"/>
    <col min="3833" max="3833" width="10.5703125" style="723" customWidth="1"/>
    <col min="3834" max="3837" width="7.28515625" style="723" customWidth="1"/>
    <col min="3838" max="3838" width="6.5703125" style="723" customWidth="1"/>
    <col min="3839" max="3840" width="7.28515625" style="723" customWidth="1"/>
    <col min="3841" max="3841" width="6.7109375" style="723" customWidth="1"/>
    <col min="3842" max="3842" width="7.28515625" style="723" customWidth="1"/>
    <col min="3843" max="3843" width="9.140625" style="723" customWidth="1"/>
    <col min="3844" max="4088" width="9.7109375" style="723"/>
    <col min="4089" max="4089" width="10.5703125" style="723" customWidth="1"/>
    <col min="4090" max="4093" width="7.28515625" style="723" customWidth="1"/>
    <col min="4094" max="4094" width="6.5703125" style="723" customWidth="1"/>
    <col min="4095" max="4096" width="7.28515625" style="723" customWidth="1"/>
    <col min="4097" max="4097" width="6.7109375" style="723" customWidth="1"/>
    <col min="4098" max="4098" width="7.28515625" style="723" customWidth="1"/>
    <col min="4099" max="4099" width="9.140625" style="723" customWidth="1"/>
    <col min="4100" max="4344" width="9.7109375" style="723"/>
    <col min="4345" max="4345" width="10.5703125" style="723" customWidth="1"/>
    <col min="4346" max="4349" width="7.28515625" style="723" customWidth="1"/>
    <col min="4350" max="4350" width="6.5703125" style="723" customWidth="1"/>
    <col min="4351" max="4352" width="7.28515625" style="723" customWidth="1"/>
    <col min="4353" max="4353" width="6.7109375" style="723" customWidth="1"/>
    <col min="4354" max="4354" width="7.28515625" style="723" customWidth="1"/>
    <col min="4355" max="4355" width="9.140625" style="723" customWidth="1"/>
    <col min="4356" max="4600" width="9.7109375" style="723"/>
    <col min="4601" max="4601" width="10.5703125" style="723" customWidth="1"/>
    <col min="4602" max="4605" width="7.28515625" style="723" customWidth="1"/>
    <col min="4606" max="4606" width="6.5703125" style="723" customWidth="1"/>
    <col min="4607" max="4608" width="7.28515625" style="723" customWidth="1"/>
    <col min="4609" max="4609" width="6.7109375" style="723" customWidth="1"/>
    <col min="4610" max="4610" width="7.28515625" style="723" customWidth="1"/>
    <col min="4611" max="4611" width="9.140625" style="723" customWidth="1"/>
    <col min="4612" max="4856" width="9.7109375" style="723"/>
    <col min="4857" max="4857" width="10.5703125" style="723" customWidth="1"/>
    <col min="4858" max="4861" width="7.28515625" style="723" customWidth="1"/>
    <col min="4862" max="4862" width="6.5703125" style="723" customWidth="1"/>
    <col min="4863" max="4864" width="7.28515625" style="723" customWidth="1"/>
    <col min="4865" max="4865" width="6.7109375" style="723" customWidth="1"/>
    <col min="4866" max="4866" width="7.28515625" style="723" customWidth="1"/>
    <col min="4867" max="4867" width="9.140625" style="723" customWidth="1"/>
    <col min="4868" max="5112" width="9.7109375" style="723"/>
    <col min="5113" max="5113" width="10.5703125" style="723" customWidth="1"/>
    <col min="5114" max="5117" width="7.28515625" style="723" customWidth="1"/>
    <col min="5118" max="5118" width="6.5703125" style="723" customWidth="1"/>
    <col min="5119" max="5120" width="7.28515625" style="723" customWidth="1"/>
    <col min="5121" max="5121" width="6.7109375" style="723" customWidth="1"/>
    <col min="5122" max="5122" width="7.28515625" style="723" customWidth="1"/>
    <col min="5123" max="5123" width="9.140625" style="723" customWidth="1"/>
    <col min="5124" max="5368" width="9.7109375" style="723"/>
    <col min="5369" max="5369" width="10.5703125" style="723" customWidth="1"/>
    <col min="5370" max="5373" width="7.28515625" style="723" customWidth="1"/>
    <col min="5374" max="5374" width="6.5703125" style="723" customWidth="1"/>
    <col min="5375" max="5376" width="7.28515625" style="723" customWidth="1"/>
    <col min="5377" max="5377" width="6.7109375" style="723" customWidth="1"/>
    <col min="5378" max="5378" width="7.28515625" style="723" customWidth="1"/>
    <col min="5379" max="5379" width="9.140625" style="723" customWidth="1"/>
    <col min="5380" max="5624" width="9.7109375" style="723"/>
    <col min="5625" max="5625" width="10.5703125" style="723" customWidth="1"/>
    <col min="5626" max="5629" width="7.28515625" style="723" customWidth="1"/>
    <col min="5630" max="5630" width="6.5703125" style="723" customWidth="1"/>
    <col min="5631" max="5632" width="7.28515625" style="723" customWidth="1"/>
    <col min="5633" max="5633" width="6.7109375" style="723" customWidth="1"/>
    <col min="5634" max="5634" width="7.28515625" style="723" customWidth="1"/>
    <col min="5635" max="5635" width="9.140625" style="723" customWidth="1"/>
    <col min="5636" max="5880" width="9.7109375" style="723"/>
    <col min="5881" max="5881" width="10.5703125" style="723" customWidth="1"/>
    <col min="5882" max="5885" width="7.28515625" style="723" customWidth="1"/>
    <col min="5886" max="5886" width="6.5703125" style="723" customWidth="1"/>
    <col min="5887" max="5888" width="7.28515625" style="723" customWidth="1"/>
    <col min="5889" max="5889" width="6.7109375" style="723" customWidth="1"/>
    <col min="5890" max="5890" width="7.28515625" style="723" customWidth="1"/>
    <col min="5891" max="5891" width="9.140625" style="723" customWidth="1"/>
    <col min="5892" max="6136" width="9.7109375" style="723"/>
    <col min="6137" max="6137" width="10.5703125" style="723" customWidth="1"/>
    <col min="6138" max="6141" width="7.28515625" style="723" customWidth="1"/>
    <col min="6142" max="6142" width="6.5703125" style="723" customWidth="1"/>
    <col min="6143" max="6144" width="7.28515625" style="723" customWidth="1"/>
    <col min="6145" max="6145" width="6.7109375" style="723" customWidth="1"/>
    <col min="6146" max="6146" width="7.28515625" style="723" customWidth="1"/>
    <col min="6147" max="6147" width="9.140625" style="723" customWidth="1"/>
    <col min="6148" max="6392" width="9.7109375" style="723"/>
    <col min="6393" max="6393" width="10.5703125" style="723" customWidth="1"/>
    <col min="6394" max="6397" width="7.28515625" style="723" customWidth="1"/>
    <col min="6398" max="6398" width="6.5703125" style="723" customWidth="1"/>
    <col min="6399" max="6400" width="7.28515625" style="723" customWidth="1"/>
    <col min="6401" max="6401" width="6.7109375" style="723" customWidth="1"/>
    <col min="6402" max="6402" width="7.28515625" style="723" customWidth="1"/>
    <col min="6403" max="6403" width="9.140625" style="723" customWidth="1"/>
    <col min="6404" max="6648" width="9.7109375" style="723"/>
    <col min="6649" max="6649" width="10.5703125" style="723" customWidth="1"/>
    <col min="6650" max="6653" width="7.28515625" style="723" customWidth="1"/>
    <col min="6654" max="6654" width="6.5703125" style="723" customWidth="1"/>
    <col min="6655" max="6656" width="7.28515625" style="723" customWidth="1"/>
    <col min="6657" max="6657" width="6.7109375" style="723" customWidth="1"/>
    <col min="6658" max="6658" width="7.28515625" style="723" customWidth="1"/>
    <col min="6659" max="6659" width="9.140625" style="723" customWidth="1"/>
    <col min="6660" max="6904" width="9.7109375" style="723"/>
    <col min="6905" max="6905" width="10.5703125" style="723" customWidth="1"/>
    <col min="6906" max="6909" width="7.28515625" style="723" customWidth="1"/>
    <col min="6910" max="6910" width="6.5703125" style="723" customWidth="1"/>
    <col min="6911" max="6912" width="7.28515625" style="723" customWidth="1"/>
    <col min="6913" max="6913" width="6.7109375" style="723" customWidth="1"/>
    <col min="6914" max="6914" width="7.28515625" style="723" customWidth="1"/>
    <col min="6915" max="6915" width="9.140625" style="723" customWidth="1"/>
    <col min="6916" max="7160" width="9.7109375" style="723"/>
    <col min="7161" max="7161" width="10.5703125" style="723" customWidth="1"/>
    <col min="7162" max="7165" width="7.28515625" style="723" customWidth="1"/>
    <col min="7166" max="7166" width="6.5703125" style="723" customWidth="1"/>
    <col min="7167" max="7168" width="7.28515625" style="723" customWidth="1"/>
    <col min="7169" max="7169" width="6.7109375" style="723" customWidth="1"/>
    <col min="7170" max="7170" width="7.28515625" style="723" customWidth="1"/>
    <col min="7171" max="7171" width="9.140625" style="723" customWidth="1"/>
    <col min="7172" max="7416" width="9.7109375" style="723"/>
    <col min="7417" max="7417" width="10.5703125" style="723" customWidth="1"/>
    <col min="7418" max="7421" width="7.28515625" style="723" customWidth="1"/>
    <col min="7422" max="7422" width="6.5703125" style="723" customWidth="1"/>
    <col min="7423" max="7424" width="7.28515625" style="723" customWidth="1"/>
    <col min="7425" max="7425" width="6.7109375" style="723" customWidth="1"/>
    <col min="7426" max="7426" width="7.28515625" style="723" customWidth="1"/>
    <col min="7427" max="7427" width="9.140625" style="723" customWidth="1"/>
    <col min="7428" max="7672" width="9.7109375" style="723"/>
    <col min="7673" max="7673" width="10.5703125" style="723" customWidth="1"/>
    <col min="7674" max="7677" width="7.28515625" style="723" customWidth="1"/>
    <col min="7678" max="7678" width="6.5703125" style="723" customWidth="1"/>
    <col min="7679" max="7680" width="7.28515625" style="723" customWidth="1"/>
    <col min="7681" max="7681" width="6.7109375" style="723" customWidth="1"/>
    <col min="7682" max="7682" width="7.28515625" style="723" customWidth="1"/>
    <col min="7683" max="7683" width="9.140625" style="723" customWidth="1"/>
    <col min="7684" max="7928" width="9.7109375" style="723"/>
    <col min="7929" max="7929" width="10.5703125" style="723" customWidth="1"/>
    <col min="7930" max="7933" width="7.28515625" style="723" customWidth="1"/>
    <col min="7934" max="7934" width="6.5703125" style="723" customWidth="1"/>
    <col min="7935" max="7936" width="7.28515625" style="723" customWidth="1"/>
    <col min="7937" max="7937" width="6.7109375" style="723" customWidth="1"/>
    <col min="7938" max="7938" width="7.28515625" style="723" customWidth="1"/>
    <col min="7939" max="7939" width="9.140625" style="723" customWidth="1"/>
    <col min="7940" max="8184" width="9.7109375" style="723"/>
    <col min="8185" max="8185" width="10.5703125" style="723" customWidth="1"/>
    <col min="8186" max="8189" width="7.28515625" style="723" customWidth="1"/>
    <col min="8190" max="8190" width="6.5703125" style="723" customWidth="1"/>
    <col min="8191" max="8192" width="7.28515625" style="723" customWidth="1"/>
    <col min="8193" max="8193" width="6.7109375" style="723" customWidth="1"/>
    <col min="8194" max="8194" width="7.28515625" style="723" customWidth="1"/>
    <col min="8195" max="8195" width="9.140625" style="723" customWidth="1"/>
    <col min="8196" max="8440" width="9.7109375" style="723"/>
    <col min="8441" max="8441" width="10.5703125" style="723" customWidth="1"/>
    <col min="8442" max="8445" width="7.28515625" style="723" customWidth="1"/>
    <col min="8446" max="8446" width="6.5703125" style="723" customWidth="1"/>
    <col min="8447" max="8448" width="7.28515625" style="723" customWidth="1"/>
    <col min="8449" max="8449" width="6.7109375" style="723" customWidth="1"/>
    <col min="8450" max="8450" width="7.28515625" style="723" customWidth="1"/>
    <col min="8451" max="8451" width="9.140625" style="723" customWidth="1"/>
    <col min="8452" max="8696" width="9.7109375" style="723"/>
    <col min="8697" max="8697" width="10.5703125" style="723" customWidth="1"/>
    <col min="8698" max="8701" width="7.28515625" style="723" customWidth="1"/>
    <col min="8702" max="8702" width="6.5703125" style="723" customWidth="1"/>
    <col min="8703" max="8704" width="7.28515625" style="723" customWidth="1"/>
    <col min="8705" max="8705" width="6.7109375" style="723" customWidth="1"/>
    <col min="8706" max="8706" width="7.28515625" style="723" customWidth="1"/>
    <col min="8707" max="8707" width="9.140625" style="723" customWidth="1"/>
    <col min="8708" max="8952" width="9.7109375" style="723"/>
    <col min="8953" max="8953" width="10.5703125" style="723" customWidth="1"/>
    <col min="8954" max="8957" width="7.28515625" style="723" customWidth="1"/>
    <col min="8958" max="8958" width="6.5703125" style="723" customWidth="1"/>
    <col min="8959" max="8960" width="7.28515625" style="723" customWidth="1"/>
    <col min="8961" max="8961" width="6.7109375" style="723" customWidth="1"/>
    <col min="8962" max="8962" width="7.28515625" style="723" customWidth="1"/>
    <col min="8963" max="8963" width="9.140625" style="723" customWidth="1"/>
    <col min="8964" max="9208" width="9.7109375" style="723"/>
    <col min="9209" max="9209" width="10.5703125" style="723" customWidth="1"/>
    <col min="9210" max="9213" width="7.28515625" style="723" customWidth="1"/>
    <col min="9214" max="9214" width="6.5703125" style="723" customWidth="1"/>
    <col min="9215" max="9216" width="7.28515625" style="723" customWidth="1"/>
    <col min="9217" max="9217" width="6.7109375" style="723" customWidth="1"/>
    <col min="9218" max="9218" width="7.28515625" style="723" customWidth="1"/>
    <col min="9219" max="9219" width="9.140625" style="723" customWidth="1"/>
    <col min="9220" max="9464" width="9.7109375" style="723"/>
    <col min="9465" max="9465" width="10.5703125" style="723" customWidth="1"/>
    <col min="9466" max="9469" width="7.28515625" style="723" customWidth="1"/>
    <col min="9470" max="9470" width="6.5703125" style="723" customWidth="1"/>
    <col min="9471" max="9472" width="7.28515625" style="723" customWidth="1"/>
    <col min="9473" max="9473" width="6.7109375" style="723" customWidth="1"/>
    <col min="9474" max="9474" width="7.28515625" style="723" customWidth="1"/>
    <col min="9475" max="9475" width="9.140625" style="723" customWidth="1"/>
    <col min="9476" max="9720" width="9.7109375" style="723"/>
    <col min="9721" max="9721" width="10.5703125" style="723" customWidth="1"/>
    <col min="9722" max="9725" width="7.28515625" style="723" customWidth="1"/>
    <col min="9726" max="9726" width="6.5703125" style="723" customWidth="1"/>
    <col min="9727" max="9728" width="7.28515625" style="723" customWidth="1"/>
    <col min="9729" max="9729" width="6.7109375" style="723" customWidth="1"/>
    <col min="9730" max="9730" width="7.28515625" style="723" customWidth="1"/>
    <col min="9731" max="9731" width="9.140625" style="723" customWidth="1"/>
    <col min="9732" max="9976" width="9.7109375" style="723"/>
    <col min="9977" max="9977" width="10.5703125" style="723" customWidth="1"/>
    <col min="9978" max="9981" width="7.28515625" style="723" customWidth="1"/>
    <col min="9982" max="9982" width="6.5703125" style="723" customWidth="1"/>
    <col min="9983" max="9984" width="7.28515625" style="723" customWidth="1"/>
    <col min="9985" max="9985" width="6.7109375" style="723" customWidth="1"/>
    <col min="9986" max="9986" width="7.28515625" style="723" customWidth="1"/>
    <col min="9987" max="9987" width="9.140625" style="723" customWidth="1"/>
    <col min="9988" max="10232" width="9.7109375" style="723"/>
    <col min="10233" max="10233" width="10.5703125" style="723" customWidth="1"/>
    <col min="10234" max="10237" width="7.28515625" style="723" customWidth="1"/>
    <col min="10238" max="10238" width="6.5703125" style="723" customWidth="1"/>
    <col min="10239" max="10240" width="7.28515625" style="723" customWidth="1"/>
    <col min="10241" max="10241" width="6.7109375" style="723" customWidth="1"/>
    <col min="10242" max="10242" width="7.28515625" style="723" customWidth="1"/>
    <col min="10243" max="10243" width="9.140625" style="723" customWidth="1"/>
    <col min="10244" max="10488" width="9.7109375" style="723"/>
    <col min="10489" max="10489" width="10.5703125" style="723" customWidth="1"/>
    <col min="10490" max="10493" width="7.28515625" style="723" customWidth="1"/>
    <col min="10494" max="10494" width="6.5703125" style="723" customWidth="1"/>
    <col min="10495" max="10496" width="7.28515625" style="723" customWidth="1"/>
    <col min="10497" max="10497" width="6.7109375" style="723" customWidth="1"/>
    <col min="10498" max="10498" width="7.28515625" style="723" customWidth="1"/>
    <col min="10499" max="10499" width="9.140625" style="723" customWidth="1"/>
    <col min="10500" max="10744" width="9.7109375" style="723"/>
    <col min="10745" max="10745" width="10.5703125" style="723" customWidth="1"/>
    <col min="10746" max="10749" width="7.28515625" style="723" customWidth="1"/>
    <col min="10750" max="10750" width="6.5703125" style="723" customWidth="1"/>
    <col min="10751" max="10752" width="7.28515625" style="723" customWidth="1"/>
    <col min="10753" max="10753" width="6.7109375" style="723" customWidth="1"/>
    <col min="10754" max="10754" width="7.28515625" style="723" customWidth="1"/>
    <col min="10755" max="10755" width="9.140625" style="723" customWidth="1"/>
    <col min="10756" max="11000" width="9.7109375" style="723"/>
    <col min="11001" max="11001" width="10.5703125" style="723" customWidth="1"/>
    <col min="11002" max="11005" width="7.28515625" style="723" customWidth="1"/>
    <col min="11006" max="11006" width="6.5703125" style="723" customWidth="1"/>
    <col min="11007" max="11008" width="7.28515625" style="723" customWidth="1"/>
    <col min="11009" max="11009" width="6.7109375" style="723" customWidth="1"/>
    <col min="11010" max="11010" width="7.28515625" style="723" customWidth="1"/>
    <col min="11011" max="11011" width="9.140625" style="723" customWidth="1"/>
    <col min="11012" max="11256" width="9.7109375" style="723"/>
    <col min="11257" max="11257" width="10.5703125" style="723" customWidth="1"/>
    <col min="11258" max="11261" width="7.28515625" style="723" customWidth="1"/>
    <col min="11262" max="11262" width="6.5703125" style="723" customWidth="1"/>
    <col min="11263" max="11264" width="7.28515625" style="723" customWidth="1"/>
    <col min="11265" max="11265" width="6.7109375" style="723" customWidth="1"/>
    <col min="11266" max="11266" width="7.28515625" style="723" customWidth="1"/>
    <col min="11267" max="11267" width="9.140625" style="723" customWidth="1"/>
    <col min="11268" max="11512" width="9.7109375" style="723"/>
    <col min="11513" max="11513" width="10.5703125" style="723" customWidth="1"/>
    <col min="11514" max="11517" width="7.28515625" style="723" customWidth="1"/>
    <col min="11518" max="11518" width="6.5703125" style="723" customWidth="1"/>
    <col min="11519" max="11520" width="7.28515625" style="723" customWidth="1"/>
    <col min="11521" max="11521" width="6.7109375" style="723" customWidth="1"/>
    <col min="11522" max="11522" width="7.28515625" style="723" customWidth="1"/>
    <col min="11523" max="11523" width="9.140625" style="723" customWidth="1"/>
    <col min="11524" max="11768" width="9.7109375" style="723"/>
    <col min="11769" max="11769" width="10.5703125" style="723" customWidth="1"/>
    <col min="11770" max="11773" width="7.28515625" style="723" customWidth="1"/>
    <col min="11774" max="11774" width="6.5703125" style="723" customWidth="1"/>
    <col min="11775" max="11776" width="7.28515625" style="723" customWidth="1"/>
    <col min="11777" max="11777" width="6.7109375" style="723" customWidth="1"/>
    <col min="11778" max="11778" width="7.28515625" style="723" customWidth="1"/>
    <col min="11779" max="11779" width="9.140625" style="723" customWidth="1"/>
    <col min="11780" max="12024" width="9.7109375" style="723"/>
    <col min="12025" max="12025" width="10.5703125" style="723" customWidth="1"/>
    <col min="12026" max="12029" width="7.28515625" style="723" customWidth="1"/>
    <col min="12030" max="12030" width="6.5703125" style="723" customWidth="1"/>
    <col min="12031" max="12032" width="7.28515625" style="723" customWidth="1"/>
    <col min="12033" max="12033" width="6.7109375" style="723" customWidth="1"/>
    <col min="12034" max="12034" width="7.28515625" style="723" customWidth="1"/>
    <col min="12035" max="12035" width="9.140625" style="723" customWidth="1"/>
    <col min="12036" max="12280" width="9.7109375" style="723"/>
    <col min="12281" max="12281" width="10.5703125" style="723" customWidth="1"/>
    <col min="12282" max="12285" width="7.28515625" style="723" customWidth="1"/>
    <col min="12286" max="12286" width="6.5703125" style="723" customWidth="1"/>
    <col min="12287" max="12288" width="7.28515625" style="723" customWidth="1"/>
    <col min="12289" max="12289" width="6.7109375" style="723" customWidth="1"/>
    <col min="12290" max="12290" width="7.28515625" style="723" customWidth="1"/>
    <col min="12291" max="12291" width="9.140625" style="723" customWidth="1"/>
    <col min="12292" max="12536" width="9.7109375" style="723"/>
    <col min="12537" max="12537" width="10.5703125" style="723" customWidth="1"/>
    <col min="12538" max="12541" width="7.28515625" style="723" customWidth="1"/>
    <col min="12542" max="12542" width="6.5703125" style="723" customWidth="1"/>
    <col min="12543" max="12544" width="7.28515625" style="723" customWidth="1"/>
    <col min="12545" max="12545" width="6.7109375" style="723" customWidth="1"/>
    <col min="12546" max="12546" width="7.28515625" style="723" customWidth="1"/>
    <col min="12547" max="12547" width="9.140625" style="723" customWidth="1"/>
    <col min="12548" max="12792" width="9.7109375" style="723"/>
    <col min="12793" max="12793" width="10.5703125" style="723" customWidth="1"/>
    <col min="12794" max="12797" width="7.28515625" style="723" customWidth="1"/>
    <col min="12798" max="12798" width="6.5703125" style="723" customWidth="1"/>
    <col min="12799" max="12800" width="7.28515625" style="723" customWidth="1"/>
    <col min="12801" max="12801" width="6.7109375" style="723" customWidth="1"/>
    <col min="12802" max="12802" width="7.28515625" style="723" customWidth="1"/>
    <col min="12803" max="12803" width="9.140625" style="723" customWidth="1"/>
    <col min="12804" max="13048" width="9.7109375" style="723"/>
    <col min="13049" max="13049" width="10.5703125" style="723" customWidth="1"/>
    <col min="13050" max="13053" width="7.28515625" style="723" customWidth="1"/>
    <col min="13054" max="13054" width="6.5703125" style="723" customWidth="1"/>
    <col min="13055" max="13056" width="7.28515625" style="723" customWidth="1"/>
    <col min="13057" max="13057" width="6.7109375" style="723" customWidth="1"/>
    <col min="13058" max="13058" width="7.28515625" style="723" customWidth="1"/>
    <col min="13059" max="13059" width="9.140625" style="723" customWidth="1"/>
    <col min="13060" max="13304" width="9.7109375" style="723"/>
    <col min="13305" max="13305" width="10.5703125" style="723" customWidth="1"/>
    <col min="13306" max="13309" width="7.28515625" style="723" customWidth="1"/>
    <col min="13310" max="13310" width="6.5703125" style="723" customWidth="1"/>
    <col min="13311" max="13312" width="7.28515625" style="723" customWidth="1"/>
    <col min="13313" max="13313" width="6.7109375" style="723" customWidth="1"/>
    <col min="13314" max="13314" width="7.28515625" style="723" customWidth="1"/>
    <col min="13315" max="13315" width="9.140625" style="723" customWidth="1"/>
    <col min="13316" max="13560" width="9.7109375" style="723"/>
    <col min="13561" max="13561" width="10.5703125" style="723" customWidth="1"/>
    <col min="13562" max="13565" width="7.28515625" style="723" customWidth="1"/>
    <col min="13566" max="13566" width="6.5703125" style="723" customWidth="1"/>
    <col min="13567" max="13568" width="7.28515625" style="723" customWidth="1"/>
    <col min="13569" max="13569" width="6.7109375" style="723" customWidth="1"/>
    <col min="13570" max="13570" width="7.28515625" style="723" customWidth="1"/>
    <col min="13571" max="13571" width="9.140625" style="723" customWidth="1"/>
    <col min="13572" max="13816" width="9.7109375" style="723"/>
    <col min="13817" max="13817" width="10.5703125" style="723" customWidth="1"/>
    <col min="13818" max="13821" width="7.28515625" style="723" customWidth="1"/>
    <col min="13822" max="13822" width="6.5703125" style="723" customWidth="1"/>
    <col min="13823" max="13824" width="7.28515625" style="723" customWidth="1"/>
    <col min="13825" max="13825" width="6.7109375" style="723" customWidth="1"/>
    <col min="13826" max="13826" width="7.28515625" style="723" customWidth="1"/>
    <col min="13827" max="13827" width="9.140625" style="723" customWidth="1"/>
    <col min="13828" max="14072" width="9.7109375" style="723"/>
    <col min="14073" max="14073" width="10.5703125" style="723" customWidth="1"/>
    <col min="14074" max="14077" width="7.28515625" style="723" customWidth="1"/>
    <col min="14078" max="14078" width="6.5703125" style="723" customWidth="1"/>
    <col min="14079" max="14080" width="7.28515625" style="723" customWidth="1"/>
    <col min="14081" max="14081" width="6.7109375" style="723" customWidth="1"/>
    <col min="14082" max="14082" width="7.28515625" style="723" customWidth="1"/>
    <col min="14083" max="14083" width="9.140625" style="723" customWidth="1"/>
    <col min="14084" max="14328" width="9.7109375" style="723"/>
    <col min="14329" max="14329" width="10.5703125" style="723" customWidth="1"/>
    <col min="14330" max="14333" width="7.28515625" style="723" customWidth="1"/>
    <col min="14334" max="14334" width="6.5703125" style="723" customWidth="1"/>
    <col min="14335" max="14336" width="7.28515625" style="723" customWidth="1"/>
    <col min="14337" max="14337" width="6.7109375" style="723" customWidth="1"/>
    <col min="14338" max="14338" width="7.28515625" style="723" customWidth="1"/>
    <col min="14339" max="14339" width="9.140625" style="723" customWidth="1"/>
    <col min="14340" max="14584" width="9.7109375" style="723"/>
    <col min="14585" max="14585" width="10.5703125" style="723" customWidth="1"/>
    <col min="14586" max="14589" width="7.28515625" style="723" customWidth="1"/>
    <col min="14590" max="14590" width="6.5703125" style="723" customWidth="1"/>
    <col min="14591" max="14592" width="7.28515625" style="723" customWidth="1"/>
    <col min="14593" max="14593" width="6.7109375" style="723" customWidth="1"/>
    <col min="14594" max="14594" width="7.28515625" style="723" customWidth="1"/>
    <col min="14595" max="14595" width="9.140625" style="723" customWidth="1"/>
    <col min="14596" max="14840" width="9.7109375" style="723"/>
    <col min="14841" max="14841" width="10.5703125" style="723" customWidth="1"/>
    <col min="14842" max="14845" width="7.28515625" style="723" customWidth="1"/>
    <col min="14846" max="14846" width="6.5703125" style="723" customWidth="1"/>
    <col min="14847" max="14848" width="7.28515625" style="723" customWidth="1"/>
    <col min="14849" max="14849" width="6.7109375" style="723" customWidth="1"/>
    <col min="14850" max="14850" width="7.28515625" style="723" customWidth="1"/>
    <col min="14851" max="14851" width="9.140625" style="723" customWidth="1"/>
    <col min="14852" max="15096" width="9.7109375" style="723"/>
    <col min="15097" max="15097" width="10.5703125" style="723" customWidth="1"/>
    <col min="15098" max="15101" width="7.28515625" style="723" customWidth="1"/>
    <col min="15102" max="15102" width="6.5703125" style="723" customWidth="1"/>
    <col min="15103" max="15104" width="7.28515625" style="723" customWidth="1"/>
    <col min="15105" max="15105" width="6.7109375" style="723" customWidth="1"/>
    <col min="15106" max="15106" width="7.28515625" style="723" customWidth="1"/>
    <col min="15107" max="15107" width="9.140625" style="723" customWidth="1"/>
    <col min="15108" max="15352" width="9.7109375" style="723"/>
    <col min="15353" max="15353" width="10.5703125" style="723" customWidth="1"/>
    <col min="15354" max="15357" width="7.28515625" style="723" customWidth="1"/>
    <col min="15358" max="15358" width="6.5703125" style="723" customWidth="1"/>
    <col min="15359" max="15360" width="7.28515625" style="723" customWidth="1"/>
    <col min="15361" max="15361" width="6.7109375" style="723" customWidth="1"/>
    <col min="15362" max="15362" width="7.28515625" style="723" customWidth="1"/>
    <col min="15363" max="15363" width="9.140625" style="723" customWidth="1"/>
    <col min="15364" max="15608" width="9.7109375" style="723"/>
    <col min="15609" max="15609" width="10.5703125" style="723" customWidth="1"/>
    <col min="15610" max="15613" width="7.28515625" style="723" customWidth="1"/>
    <col min="15614" max="15614" width="6.5703125" style="723" customWidth="1"/>
    <col min="15615" max="15616" width="7.28515625" style="723" customWidth="1"/>
    <col min="15617" max="15617" width="6.7109375" style="723" customWidth="1"/>
    <col min="15618" max="15618" width="7.28515625" style="723" customWidth="1"/>
    <col min="15619" max="15619" width="9.140625" style="723" customWidth="1"/>
    <col min="15620" max="15864" width="9.7109375" style="723"/>
    <col min="15865" max="15865" width="10.5703125" style="723" customWidth="1"/>
    <col min="15866" max="15869" width="7.28515625" style="723" customWidth="1"/>
    <col min="15870" max="15870" width="6.5703125" style="723" customWidth="1"/>
    <col min="15871" max="15872" width="7.28515625" style="723" customWidth="1"/>
    <col min="15873" max="15873" width="6.7109375" style="723" customWidth="1"/>
    <col min="15874" max="15874" width="7.28515625" style="723" customWidth="1"/>
    <col min="15875" max="15875" width="9.140625" style="723" customWidth="1"/>
    <col min="15876" max="16120" width="9.7109375" style="723"/>
    <col min="16121" max="16121" width="10.5703125" style="723" customWidth="1"/>
    <col min="16122" max="16125" width="7.28515625" style="723" customWidth="1"/>
    <col min="16126" max="16126" width="6.5703125" style="723" customWidth="1"/>
    <col min="16127" max="16128" width="7.28515625" style="723" customWidth="1"/>
    <col min="16129" max="16129" width="6.7109375" style="723" customWidth="1"/>
    <col min="16130" max="16130" width="7.28515625" style="723" customWidth="1"/>
    <col min="16131" max="16131" width="9.140625" style="723" customWidth="1"/>
    <col min="16132" max="16384" width="9.7109375" style="723"/>
  </cols>
  <sheetData>
    <row r="1" spans="1:12" s="721" customFormat="1" ht="15.75">
      <c r="A1" s="719" t="s">
        <v>288</v>
      </c>
      <c r="B1" s="720"/>
      <c r="C1" s="720"/>
      <c r="D1" s="720"/>
      <c r="E1" s="720"/>
      <c r="F1" s="720"/>
      <c r="G1" s="720"/>
      <c r="H1" s="720"/>
      <c r="I1" s="720"/>
    </row>
    <row r="2" spans="1:12" ht="15.75">
      <c r="A2" s="722" t="s">
        <v>289</v>
      </c>
      <c r="E2" s="724"/>
      <c r="F2" s="724"/>
      <c r="G2" s="724"/>
      <c r="H2" s="724"/>
      <c r="I2" s="725"/>
      <c r="J2" s="725"/>
      <c r="K2" s="725"/>
    </row>
    <row r="3" spans="1:12" ht="15.75">
      <c r="A3" s="725"/>
      <c r="B3" s="725"/>
      <c r="C3" s="725"/>
      <c r="D3" s="724"/>
      <c r="E3" s="724"/>
      <c r="F3" s="724"/>
      <c r="G3" s="724"/>
      <c r="H3" s="724"/>
      <c r="I3" s="725"/>
      <c r="J3" s="725"/>
      <c r="K3" s="725"/>
    </row>
    <row r="4" spans="1:12" s="726" customFormat="1">
      <c r="B4" s="727"/>
      <c r="C4" s="728"/>
      <c r="D4" s="728"/>
      <c r="E4" s="725"/>
      <c r="F4" s="728"/>
      <c r="G4" s="728"/>
      <c r="H4" s="728"/>
      <c r="I4" s="728"/>
      <c r="J4" s="728"/>
      <c r="K4" s="729"/>
      <c r="L4" s="730"/>
    </row>
    <row r="5" spans="1:12" s="726" customFormat="1" ht="17.100000000000001" customHeight="1">
      <c r="A5" s="731" t="s">
        <v>216</v>
      </c>
      <c r="B5" s="731" t="s">
        <v>217</v>
      </c>
      <c r="C5" s="731" t="s">
        <v>277</v>
      </c>
      <c r="D5" s="731" t="s">
        <v>219</v>
      </c>
      <c r="E5" s="731" t="s">
        <v>220</v>
      </c>
      <c r="F5" s="731" t="s">
        <v>221</v>
      </c>
      <c r="G5" s="731" t="s">
        <v>222</v>
      </c>
      <c r="H5" s="731" t="s">
        <v>223</v>
      </c>
      <c r="I5" s="731" t="s">
        <v>224</v>
      </c>
      <c r="J5" s="732" t="s">
        <v>278</v>
      </c>
      <c r="K5" s="731" t="s">
        <v>24</v>
      </c>
      <c r="L5" s="733"/>
    </row>
    <row r="6" spans="1:12" ht="12.75" customHeight="1">
      <c r="A6" s="734" t="s">
        <v>226</v>
      </c>
      <c r="B6" s="735">
        <v>72</v>
      </c>
      <c r="C6" s="736">
        <v>127</v>
      </c>
      <c r="D6" s="736">
        <v>242</v>
      </c>
      <c r="E6" s="736">
        <v>12</v>
      </c>
      <c r="F6" s="736">
        <v>13</v>
      </c>
      <c r="G6" s="736">
        <v>43</v>
      </c>
      <c r="H6" s="736">
        <v>21</v>
      </c>
      <c r="I6" s="736">
        <v>2</v>
      </c>
      <c r="J6" s="737" t="s">
        <v>290</v>
      </c>
      <c r="K6" s="738">
        <f>SUM(B6:J6)</f>
        <v>532</v>
      </c>
      <c r="L6" s="739"/>
    </row>
    <row r="7" spans="1:12" hidden="1">
      <c r="A7" s="741" t="s">
        <v>227</v>
      </c>
      <c r="B7" s="742">
        <v>84</v>
      </c>
      <c r="C7" s="743">
        <v>116</v>
      </c>
      <c r="D7" s="743">
        <v>252</v>
      </c>
      <c r="E7" s="743">
        <v>18</v>
      </c>
      <c r="F7" s="743">
        <v>21</v>
      </c>
      <c r="G7" s="743">
        <v>53</v>
      </c>
      <c r="H7" s="743">
        <v>4</v>
      </c>
      <c r="I7" s="743">
        <v>1</v>
      </c>
      <c r="J7" s="744" t="s">
        <v>290</v>
      </c>
      <c r="K7" s="745">
        <f>SUM(B7:J7)</f>
        <v>549</v>
      </c>
      <c r="L7" s="740"/>
    </row>
    <row r="8" spans="1:12" hidden="1">
      <c r="A8" s="741" t="s">
        <v>228</v>
      </c>
      <c r="B8" s="742">
        <v>91</v>
      </c>
      <c r="C8" s="743">
        <v>127</v>
      </c>
      <c r="D8" s="743">
        <v>302</v>
      </c>
      <c r="E8" s="743">
        <v>17</v>
      </c>
      <c r="F8" s="743">
        <v>21</v>
      </c>
      <c r="G8" s="743">
        <v>38</v>
      </c>
      <c r="H8" s="743">
        <v>4</v>
      </c>
      <c r="I8" s="743">
        <v>4</v>
      </c>
      <c r="J8" s="744" t="s">
        <v>290</v>
      </c>
      <c r="K8" s="745">
        <f>SUM(B8:J8)</f>
        <v>604</v>
      </c>
      <c r="L8" s="740"/>
    </row>
    <row r="9" spans="1:12" hidden="1">
      <c r="A9" s="741" t="s">
        <v>229</v>
      </c>
      <c r="B9" s="742">
        <v>80</v>
      </c>
      <c r="C9" s="743">
        <v>125</v>
      </c>
      <c r="D9" s="743">
        <v>303</v>
      </c>
      <c r="E9" s="743">
        <v>17</v>
      </c>
      <c r="F9" s="743">
        <v>14</v>
      </c>
      <c r="G9" s="743">
        <v>24</v>
      </c>
      <c r="H9" s="743">
        <v>1</v>
      </c>
      <c r="I9" s="743">
        <v>4</v>
      </c>
      <c r="J9" s="744" t="s">
        <v>290</v>
      </c>
      <c r="K9" s="745">
        <f>SUM(B9:J9)</f>
        <v>568</v>
      </c>
      <c r="L9" s="740"/>
    </row>
    <row r="10" spans="1:12">
      <c r="A10" s="741" t="s">
        <v>230</v>
      </c>
      <c r="B10" s="742">
        <v>73</v>
      </c>
      <c r="C10" s="743">
        <v>169</v>
      </c>
      <c r="D10" s="743">
        <v>339</v>
      </c>
      <c r="E10" s="743">
        <v>21</v>
      </c>
      <c r="F10" s="743">
        <v>20</v>
      </c>
      <c r="G10" s="743">
        <v>32</v>
      </c>
      <c r="H10" s="743">
        <v>3</v>
      </c>
      <c r="I10" s="743">
        <v>3</v>
      </c>
      <c r="J10" s="744" t="s">
        <v>290</v>
      </c>
      <c r="K10" s="745">
        <f>SUM(B10:J10)</f>
        <v>660</v>
      </c>
      <c r="L10" s="740"/>
    </row>
    <row r="11" spans="1:12">
      <c r="A11" s="746"/>
      <c r="B11" s="747"/>
      <c r="C11" s="748"/>
      <c r="D11" s="748"/>
      <c r="E11" s="748"/>
      <c r="F11" s="748"/>
      <c r="G11" s="748"/>
      <c r="H11" s="748"/>
      <c r="I11" s="748"/>
      <c r="J11" s="749"/>
      <c r="K11" s="750"/>
      <c r="L11" s="740"/>
    </row>
    <row r="12" spans="1:12">
      <c r="A12" s="741" t="s">
        <v>49</v>
      </c>
      <c r="B12" s="742">
        <v>76</v>
      </c>
      <c r="C12" s="743">
        <v>139</v>
      </c>
      <c r="D12" s="743">
        <v>309</v>
      </c>
      <c r="E12" s="743">
        <v>14</v>
      </c>
      <c r="F12" s="743">
        <v>12</v>
      </c>
      <c r="G12" s="743">
        <v>26</v>
      </c>
      <c r="H12" s="743">
        <v>2</v>
      </c>
      <c r="I12" s="743">
        <v>1</v>
      </c>
      <c r="J12" s="744" t="s">
        <v>290</v>
      </c>
      <c r="K12" s="745">
        <f>SUM(B12:J12)</f>
        <v>579</v>
      </c>
      <c r="L12" s="740"/>
    </row>
    <row r="13" spans="1:12" hidden="1">
      <c r="A13" s="741" t="s">
        <v>231</v>
      </c>
      <c r="B13" s="742">
        <v>89</v>
      </c>
      <c r="C13" s="743">
        <v>155</v>
      </c>
      <c r="D13" s="743">
        <v>355</v>
      </c>
      <c r="E13" s="743">
        <v>20</v>
      </c>
      <c r="F13" s="743">
        <v>16</v>
      </c>
      <c r="G13" s="743">
        <v>42</v>
      </c>
      <c r="H13" s="743">
        <v>4</v>
      </c>
      <c r="I13" s="743">
        <v>2</v>
      </c>
      <c r="J13" s="744" t="s">
        <v>290</v>
      </c>
      <c r="K13" s="745">
        <f>SUM(B13:J13)</f>
        <v>683</v>
      </c>
      <c r="L13" s="740"/>
    </row>
    <row r="14" spans="1:12" hidden="1">
      <c r="A14" s="741" t="s">
        <v>232</v>
      </c>
      <c r="B14" s="742">
        <v>99</v>
      </c>
      <c r="C14" s="743">
        <v>159</v>
      </c>
      <c r="D14" s="743">
        <v>290</v>
      </c>
      <c r="E14" s="743">
        <v>13</v>
      </c>
      <c r="F14" s="743">
        <v>19</v>
      </c>
      <c r="G14" s="743">
        <v>37</v>
      </c>
      <c r="H14" s="743">
        <v>2</v>
      </c>
      <c r="I14" s="743">
        <v>1</v>
      </c>
      <c r="J14" s="743">
        <v>6</v>
      </c>
      <c r="K14" s="745">
        <f>SUM(B14:J14)</f>
        <v>626</v>
      </c>
      <c r="L14" s="740"/>
    </row>
    <row r="15" spans="1:12" hidden="1">
      <c r="A15" s="741" t="s">
        <v>233</v>
      </c>
      <c r="B15" s="742">
        <v>77</v>
      </c>
      <c r="C15" s="743">
        <v>129</v>
      </c>
      <c r="D15" s="743">
        <v>301</v>
      </c>
      <c r="E15" s="743">
        <v>28</v>
      </c>
      <c r="F15" s="743">
        <v>8</v>
      </c>
      <c r="G15" s="743">
        <v>37</v>
      </c>
      <c r="H15" s="743">
        <v>1</v>
      </c>
      <c r="I15" s="744" t="s">
        <v>290</v>
      </c>
      <c r="J15" s="743">
        <v>11</v>
      </c>
      <c r="K15" s="745">
        <f>SUM(B15:J15)</f>
        <v>592</v>
      </c>
      <c r="L15" s="740"/>
    </row>
    <row r="16" spans="1:12" hidden="1">
      <c r="A16" s="741" t="s">
        <v>234</v>
      </c>
      <c r="B16" s="742">
        <v>77</v>
      </c>
      <c r="C16" s="743">
        <v>91</v>
      </c>
      <c r="D16" s="743">
        <v>240</v>
      </c>
      <c r="E16" s="743">
        <v>12</v>
      </c>
      <c r="F16" s="743">
        <v>3</v>
      </c>
      <c r="G16" s="743">
        <v>40</v>
      </c>
      <c r="H16" s="743">
        <v>1</v>
      </c>
      <c r="I16" s="743">
        <v>1</v>
      </c>
      <c r="J16" s="743">
        <v>8</v>
      </c>
      <c r="K16" s="745">
        <f>SUM(B16:J16)</f>
        <v>473</v>
      </c>
      <c r="L16" s="740"/>
    </row>
    <row r="17" spans="1:12" hidden="1">
      <c r="A17" s="746"/>
      <c r="B17" s="747"/>
      <c r="C17" s="748"/>
      <c r="D17" s="748"/>
      <c r="E17" s="748"/>
      <c r="F17" s="748"/>
      <c r="G17" s="748"/>
      <c r="H17" s="748"/>
      <c r="I17" s="748"/>
      <c r="J17" s="748"/>
      <c r="K17" s="750"/>
      <c r="L17" s="740"/>
    </row>
    <row r="18" spans="1:12">
      <c r="A18" s="741" t="s">
        <v>50</v>
      </c>
      <c r="B18" s="742">
        <v>108</v>
      </c>
      <c r="C18" s="743">
        <v>129</v>
      </c>
      <c r="D18" s="743">
        <v>203</v>
      </c>
      <c r="E18" s="743">
        <v>16</v>
      </c>
      <c r="F18" s="743">
        <v>5</v>
      </c>
      <c r="G18" s="743">
        <v>90</v>
      </c>
      <c r="H18" s="743">
        <v>7</v>
      </c>
      <c r="I18" s="743">
        <v>2</v>
      </c>
      <c r="J18" s="743">
        <v>26</v>
      </c>
      <c r="K18" s="745">
        <f>SUM(B18:J18)</f>
        <v>586</v>
      </c>
      <c r="L18" s="751"/>
    </row>
    <row r="19" spans="1:12" hidden="1">
      <c r="A19" s="741" t="s">
        <v>153</v>
      </c>
      <c r="B19" s="742">
        <v>124</v>
      </c>
      <c r="C19" s="743">
        <v>181</v>
      </c>
      <c r="D19" s="743">
        <v>199</v>
      </c>
      <c r="E19" s="743">
        <v>40</v>
      </c>
      <c r="F19" s="743">
        <v>4</v>
      </c>
      <c r="G19" s="743">
        <v>61</v>
      </c>
      <c r="H19" s="743">
        <v>4</v>
      </c>
      <c r="I19" s="743">
        <v>2</v>
      </c>
      <c r="J19" s="743">
        <v>14</v>
      </c>
      <c r="K19" s="745">
        <f>SUM(B19:J19)</f>
        <v>629</v>
      </c>
      <c r="L19" s="751"/>
    </row>
    <row r="20" spans="1:12" hidden="1">
      <c r="A20" s="741" t="s">
        <v>154</v>
      </c>
      <c r="B20" s="742">
        <v>141</v>
      </c>
      <c r="C20" s="743">
        <v>261</v>
      </c>
      <c r="D20" s="743">
        <v>231</v>
      </c>
      <c r="E20" s="743">
        <v>32</v>
      </c>
      <c r="F20" s="743">
        <v>6</v>
      </c>
      <c r="G20" s="743">
        <v>102</v>
      </c>
      <c r="H20" s="743">
        <v>13</v>
      </c>
      <c r="I20" s="743">
        <v>2</v>
      </c>
      <c r="J20" s="743">
        <v>28</v>
      </c>
      <c r="K20" s="745">
        <f>SUM(B20:J20)</f>
        <v>816</v>
      </c>
      <c r="L20" s="751"/>
    </row>
    <row r="21" spans="1:12" hidden="1">
      <c r="A21" s="741" t="s">
        <v>155</v>
      </c>
      <c r="B21" s="742">
        <v>125</v>
      </c>
      <c r="C21" s="743">
        <v>201</v>
      </c>
      <c r="D21" s="743">
        <v>288</v>
      </c>
      <c r="E21" s="743">
        <v>9</v>
      </c>
      <c r="F21" s="743">
        <v>7</v>
      </c>
      <c r="G21" s="743">
        <v>152</v>
      </c>
      <c r="H21" s="743">
        <v>15</v>
      </c>
      <c r="I21" s="743">
        <v>3</v>
      </c>
      <c r="J21" s="743">
        <v>28</v>
      </c>
      <c r="K21" s="745">
        <f>SUM(B21:J21)</f>
        <v>828</v>
      </c>
      <c r="L21" s="751"/>
    </row>
    <row r="22" spans="1:12">
      <c r="A22" s="741" t="s">
        <v>156</v>
      </c>
      <c r="B22" s="742">
        <v>139</v>
      </c>
      <c r="C22" s="743">
        <v>240</v>
      </c>
      <c r="D22" s="743">
        <v>373</v>
      </c>
      <c r="E22" s="743">
        <v>19</v>
      </c>
      <c r="F22" s="743">
        <v>8</v>
      </c>
      <c r="G22" s="743">
        <v>175</v>
      </c>
      <c r="H22" s="743">
        <v>28</v>
      </c>
      <c r="I22" s="743">
        <v>7</v>
      </c>
      <c r="J22" s="743">
        <v>20</v>
      </c>
      <c r="K22" s="745">
        <f>SUM(B22:J22)</f>
        <v>1009</v>
      </c>
      <c r="L22" s="751"/>
    </row>
    <row r="23" spans="1:12">
      <c r="A23" s="746"/>
      <c r="B23" s="747"/>
      <c r="C23" s="748"/>
      <c r="D23" s="748"/>
      <c r="E23" s="748"/>
      <c r="F23" s="748"/>
      <c r="G23" s="748"/>
      <c r="H23" s="748"/>
      <c r="I23" s="748"/>
      <c r="J23" s="748"/>
      <c r="K23" s="750"/>
      <c r="L23" s="751"/>
    </row>
    <row r="24" spans="1:12">
      <c r="A24" s="741" t="s">
        <v>51</v>
      </c>
      <c r="B24" s="742">
        <v>135</v>
      </c>
      <c r="C24" s="743">
        <v>335</v>
      </c>
      <c r="D24" s="743">
        <v>358</v>
      </c>
      <c r="E24" s="743">
        <v>51</v>
      </c>
      <c r="F24" s="743">
        <v>5</v>
      </c>
      <c r="G24" s="743">
        <v>137</v>
      </c>
      <c r="H24" s="743">
        <v>9</v>
      </c>
      <c r="I24" s="743">
        <v>3</v>
      </c>
      <c r="J24" s="743">
        <v>21</v>
      </c>
      <c r="K24" s="745">
        <f>SUM(B24:J24)</f>
        <v>1054</v>
      </c>
      <c r="L24" s="751"/>
    </row>
    <row r="25" spans="1:12">
      <c r="A25" s="741" t="s">
        <v>52</v>
      </c>
      <c r="B25" s="742">
        <v>97</v>
      </c>
      <c r="C25" s="743">
        <v>278</v>
      </c>
      <c r="D25" s="743">
        <v>323</v>
      </c>
      <c r="E25" s="743">
        <v>44</v>
      </c>
      <c r="F25" s="743">
        <v>4</v>
      </c>
      <c r="G25" s="743">
        <v>113</v>
      </c>
      <c r="H25" s="743">
        <v>7</v>
      </c>
      <c r="I25" s="743">
        <v>2</v>
      </c>
      <c r="J25" s="743">
        <v>13</v>
      </c>
      <c r="K25" s="745">
        <f>SUM(B25:J25)</f>
        <v>881</v>
      </c>
      <c r="L25" s="751"/>
    </row>
    <row r="26" spans="1:12">
      <c r="A26" s="741"/>
      <c r="B26" s="742"/>
      <c r="C26" s="743"/>
      <c r="D26" s="743"/>
      <c r="E26" s="743"/>
      <c r="F26" s="743"/>
      <c r="G26" s="743"/>
      <c r="H26" s="743"/>
      <c r="I26" s="743"/>
      <c r="J26" s="743"/>
      <c r="K26" s="745"/>
      <c r="L26" s="751"/>
    </row>
    <row r="27" spans="1:12" ht="14.25">
      <c r="A27" s="741" t="s">
        <v>279</v>
      </c>
      <c r="B27" s="742">
        <v>82</v>
      </c>
      <c r="C27" s="743">
        <v>138</v>
      </c>
      <c r="D27" s="743">
        <v>247</v>
      </c>
      <c r="E27" s="743">
        <v>17</v>
      </c>
      <c r="F27" s="744" t="s">
        <v>290</v>
      </c>
      <c r="G27" s="743">
        <v>32</v>
      </c>
      <c r="H27" s="744" t="s">
        <v>290</v>
      </c>
      <c r="I27" s="743">
        <v>3</v>
      </c>
      <c r="J27" s="743">
        <v>14</v>
      </c>
      <c r="K27" s="745">
        <f>SUM(B27:J27)</f>
        <v>533</v>
      </c>
      <c r="L27" s="740"/>
    </row>
    <row r="28" spans="1:12" hidden="1">
      <c r="A28" s="741" t="s">
        <v>54</v>
      </c>
      <c r="B28" s="742">
        <v>66</v>
      </c>
      <c r="C28" s="743">
        <v>224</v>
      </c>
      <c r="D28" s="743">
        <v>221</v>
      </c>
      <c r="E28" s="743">
        <v>44</v>
      </c>
      <c r="F28" s="744" t="s">
        <v>290</v>
      </c>
      <c r="G28" s="743">
        <v>31</v>
      </c>
      <c r="H28" s="743">
        <v>3</v>
      </c>
      <c r="I28" s="743">
        <v>5</v>
      </c>
      <c r="J28" s="743">
        <v>8</v>
      </c>
      <c r="K28" s="745">
        <f>SUM(B28:J28)</f>
        <v>602</v>
      </c>
      <c r="L28" s="751"/>
    </row>
    <row r="29" spans="1:12" hidden="1">
      <c r="A29" s="741" t="s">
        <v>55</v>
      </c>
      <c r="B29" s="742">
        <v>100</v>
      </c>
      <c r="C29" s="743">
        <v>227</v>
      </c>
      <c r="D29" s="743">
        <v>310</v>
      </c>
      <c r="E29" s="744" t="s">
        <v>290</v>
      </c>
      <c r="F29" s="744" t="s">
        <v>290</v>
      </c>
      <c r="G29" s="743">
        <v>16</v>
      </c>
      <c r="H29" s="743">
        <v>3</v>
      </c>
      <c r="I29" s="743">
        <v>6</v>
      </c>
      <c r="J29" s="752" t="s">
        <v>134</v>
      </c>
      <c r="K29" s="745">
        <f>SUM(B29:J29)</f>
        <v>662</v>
      </c>
      <c r="L29" s="751"/>
    </row>
    <row r="30" spans="1:12">
      <c r="A30" s="746"/>
      <c r="B30" s="747"/>
      <c r="C30" s="748"/>
      <c r="D30" s="748"/>
      <c r="E30" s="748"/>
      <c r="F30" s="749"/>
      <c r="G30" s="748"/>
      <c r="H30" s="748"/>
      <c r="I30" s="748"/>
      <c r="J30" s="753"/>
      <c r="K30" s="750"/>
      <c r="L30" s="751"/>
    </row>
    <row r="31" spans="1:12">
      <c r="A31" s="741" t="s">
        <v>56</v>
      </c>
      <c r="B31" s="742">
        <v>31</v>
      </c>
      <c r="C31" s="743">
        <v>199</v>
      </c>
      <c r="D31" s="743">
        <v>257</v>
      </c>
      <c r="E31" s="744" t="s">
        <v>290</v>
      </c>
      <c r="F31" s="744" t="s">
        <v>290</v>
      </c>
      <c r="G31" s="743">
        <v>23</v>
      </c>
      <c r="H31" s="744" t="s">
        <v>290</v>
      </c>
      <c r="I31" s="743">
        <v>7</v>
      </c>
      <c r="J31" s="754" t="s">
        <v>134</v>
      </c>
      <c r="K31" s="745">
        <f>SUM(B31:J31)</f>
        <v>517</v>
      </c>
      <c r="L31" s="751"/>
    </row>
    <row r="32" spans="1:12" hidden="1">
      <c r="A32" s="741" t="s">
        <v>57</v>
      </c>
      <c r="B32" s="742">
        <v>14</v>
      </c>
      <c r="C32" s="743">
        <v>148</v>
      </c>
      <c r="D32" s="743">
        <v>221</v>
      </c>
      <c r="E32" s="743">
        <v>2</v>
      </c>
      <c r="F32" s="744" t="s">
        <v>290</v>
      </c>
      <c r="G32" s="743">
        <v>22</v>
      </c>
      <c r="H32" s="744" t="s">
        <v>290</v>
      </c>
      <c r="I32" s="743">
        <v>8</v>
      </c>
      <c r="J32" s="752"/>
      <c r="K32" s="745">
        <f>SUM(B32:J32)</f>
        <v>415</v>
      </c>
      <c r="L32" s="751"/>
    </row>
    <row r="33" spans="1:12" hidden="1">
      <c r="A33" s="741" t="s">
        <v>58</v>
      </c>
      <c r="B33" s="742">
        <v>20</v>
      </c>
      <c r="C33" s="743">
        <v>258</v>
      </c>
      <c r="D33" s="743">
        <v>186</v>
      </c>
      <c r="E33" s="743">
        <v>2</v>
      </c>
      <c r="F33" s="744" t="s">
        <v>290</v>
      </c>
      <c r="G33" s="743">
        <v>43</v>
      </c>
      <c r="H33" s="744" t="s">
        <v>290</v>
      </c>
      <c r="I33" s="743">
        <v>13</v>
      </c>
      <c r="J33" s="752" t="s">
        <v>134</v>
      </c>
      <c r="K33" s="745">
        <f>SUM(B33:J33)</f>
        <v>522</v>
      </c>
      <c r="L33" s="751"/>
    </row>
    <row r="34" spans="1:12" hidden="1">
      <c r="A34" s="741" t="s">
        <v>59</v>
      </c>
      <c r="B34" s="742">
        <v>19</v>
      </c>
      <c r="C34" s="743">
        <v>299</v>
      </c>
      <c r="D34" s="743">
        <v>236.053</v>
      </c>
      <c r="E34" s="743">
        <v>1.887</v>
      </c>
      <c r="F34" s="744" t="s">
        <v>290</v>
      </c>
      <c r="G34" s="743">
        <v>25.109000000000002</v>
      </c>
      <c r="H34" s="744" t="s">
        <v>290</v>
      </c>
      <c r="I34" s="743">
        <v>13.407</v>
      </c>
      <c r="J34" s="752" t="s">
        <v>134</v>
      </c>
      <c r="K34" s="745">
        <f>SUM(B34:J34)</f>
        <v>594.45600000000002</v>
      </c>
      <c r="L34" s="751"/>
    </row>
    <row r="35" spans="1:12" hidden="1">
      <c r="A35" s="741" t="s">
        <v>60</v>
      </c>
      <c r="B35" s="742">
        <v>22</v>
      </c>
      <c r="C35" s="743">
        <v>256</v>
      </c>
      <c r="D35" s="743">
        <v>200</v>
      </c>
      <c r="E35" s="743">
        <v>3</v>
      </c>
      <c r="F35" s="744" t="s">
        <v>290</v>
      </c>
      <c r="G35" s="743">
        <v>26</v>
      </c>
      <c r="H35" s="743">
        <v>1</v>
      </c>
      <c r="I35" s="743">
        <v>9</v>
      </c>
      <c r="J35" s="752" t="s">
        <v>134</v>
      </c>
      <c r="K35" s="745">
        <v>518</v>
      </c>
      <c r="L35" s="751"/>
    </row>
    <row r="36" spans="1:12" hidden="1">
      <c r="A36" s="741" t="s">
        <v>61</v>
      </c>
      <c r="B36" s="742">
        <v>24</v>
      </c>
      <c r="C36" s="743">
        <v>381</v>
      </c>
      <c r="D36" s="743">
        <v>211</v>
      </c>
      <c r="E36" s="743">
        <v>5</v>
      </c>
      <c r="F36" s="744" t="s">
        <v>290</v>
      </c>
      <c r="G36" s="743">
        <v>38</v>
      </c>
      <c r="H36" s="744" t="s">
        <v>290</v>
      </c>
      <c r="I36" s="743">
        <v>10</v>
      </c>
      <c r="J36" s="752" t="s">
        <v>134</v>
      </c>
      <c r="K36" s="745">
        <f>SUM(B36:J36)</f>
        <v>669</v>
      </c>
      <c r="L36" s="740"/>
    </row>
    <row r="37" spans="1:12" hidden="1">
      <c r="A37" s="746" t="s">
        <v>63</v>
      </c>
      <c r="B37" s="747">
        <v>15</v>
      </c>
      <c r="C37" s="748">
        <v>372</v>
      </c>
      <c r="D37" s="748">
        <v>164</v>
      </c>
      <c r="E37" s="748">
        <v>5</v>
      </c>
      <c r="F37" s="744" t="s">
        <v>290</v>
      </c>
      <c r="G37" s="748">
        <v>24</v>
      </c>
      <c r="H37" s="744" t="s">
        <v>290</v>
      </c>
      <c r="I37" s="748">
        <v>9</v>
      </c>
      <c r="J37" s="744"/>
      <c r="K37" s="745">
        <f>SUM(B37:J37)</f>
        <v>589</v>
      </c>
      <c r="L37" s="740"/>
    </row>
    <row r="38" spans="1:12" hidden="1">
      <c r="A38" s="746" t="s">
        <v>64</v>
      </c>
      <c r="B38" s="747">
        <v>11</v>
      </c>
      <c r="C38" s="748">
        <v>348</v>
      </c>
      <c r="D38" s="748">
        <v>161</v>
      </c>
      <c r="E38" s="748">
        <v>10</v>
      </c>
      <c r="F38" s="744" t="s">
        <v>290</v>
      </c>
      <c r="G38" s="748">
        <v>43</v>
      </c>
      <c r="H38" s="748">
        <v>6</v>
      </c>
      <c r="I38" s="748">
        <v>10</v>
      </c>
      <c r="J38" s="744"/>
      <c r="K38" s="750">
        <f>SUM(B38:J38)</f>
        <v>589</v>
      </c>
      <c r="L38" s="740"/>
    </row>
    <row r="39" spans="1:12" hidden="1">
      <c r="A39" s="746" t="s">
        <v>65</v>
      </c>
      <c r="B39" s="747">
        <f>2.423+0</f>
        <v>2.423</v>
      </c>
      <c r="C39" s="748">
        <f>224.863+110.145</f>
        <v>335.00799999999998</v>
      </c>
      <c r="D39" s="748">
        <v>191.05699999999999</v>
      </c>
      <c r="E39" s="748">
        <v>10.414</v>
      </c>
      <c r="F39" s="744" t="s">
        <v>290</v>
      </c>
      <c r="G39" s="748">
        <v>22.475000000000001</v>
      </c>
      <c r="H39" s="748">
        <v>2.0169999999999999</v>
      </c>
      <c r="I39" s="748">
        <v>11.228999999999999</v>
      </c>
      <c r="J39" s="744"/>
      <c r="K39" s="750">
        <f>SUM(B39:J39)</f>
        <v>574.62300000000005</v>
      </c>
      <c r="L39" s="740"/>
    </row>
    <row r="40" spans="1:12" hidden="1">
      <c r="A40" s="746" t="s">
        <v>66</v>
      </c>
      <c r="B40" s="755" t="s">
        <v>290</v>
      </c>
      <c r="C40" s="748">
        <v>295.05399999999997</v>
      </c>
      <c r="D40" s="748">
        <v>193.161</v>
      </c>
      <c r="E40" s="748">
        <v>20.315999999999999</v>
      </c>
      <c r="F40" s="744" t="s">
        <v>290</v>
      </c>
      <c r="G40" s="748">
        <v>11.862</v>
      </c>
      <c r="H40" s="748">
        <v>2.21</v>
      </c>
      <c r="I40" s="748">
        <v>25.341000000000001</v>
      </c>
      <c r="J40" s="744"/>
      <c r="K40" s="750">
        <f>SUM(B40:J40)</f>
        <v>547.94399999999996</v>
      </c>
      <c r="L40" s="740"/>
    </row>
    <row r="41" spans="1:12">
      <c r="A41" s="746" t="s">
        <v>67</v>
      </c>
      <c r="B41" s="755">
        <v>0.57699999999999996</v>
      </c>
      <c r="C41" s="748">
        <v>307.315</v>
      </c>
      <c r="D41" s="748">
        <v>187.333</v>
      </c>
      <c r="E41" s="748">
        <v>15.47</v>
      </c>
      <c r="F41" s="744" t="s">
        <v>290</v>
      </c>
      <c r="G41" s="748">
        <v>3.823</v>
      </c>
      <c r="H41" s="748">
        <v>15.372999999999999</v>
      </c>
      <c r="I41" s="748">
        <v>16.187000000000001</v>
      </c>
      <c r="J41" s="744"/>
      <c r="K41" s="750">
        <v>546.07800000000009</v>
      </c>
      <c r="L41" s="740"/>
    </row>
    <row r="42" spans="1:12" hidden="1">
      <c r="A42" s="746" t="s">
        <v>68</v>
      </c>
      <c r="B42" s="755">
        <v>0.63200000000000001</v>
      </c>
      <c r="C42" s="748">
        <f>141.449+243.042</f>
        <v>384.49099999999999</v>
      </c>
      <c r="D42" s="748">
        <v>171.12299999999999</v>
      </c>
      <c r="E42" s="748">
        <v>8.9719999999999995</v>
      </c>
      <c r="F42" s="744">
        <v>0.56699999999999995</v>
      </c>
      <c r="G42" s="748">
        <v>4.3460000000000001</v>
      </c>
      <c r="H42" s="748">
        <v>17.870999999999999</v>
      </c>
      <c r="I42" s="748">
        <v>16.856000000000002</v>
      </c>
      <c r="J42" s="744"/>
      <c r="K42" s="750">
        <f>SUM(B42:J42)</f>
        <v>604.85799999999995</v>
      </c>
      <c r="L42" s="740"/>
    </row>
    <row r="43" spans="1:12" hidden="1">
      <c r="A43" s="746" t="s">
        <v>69</v>
      </c>
      <c r="B43" s="755">
        <v>1.5029999999999999</v>
      </c>
      <c r="C43" s="748">
        <v>417.94200000000001</v>
      </c>
      <c r="D43" s="748">
        <v>132.018</v>
      </c>
      <c r="E43" s="748">
        <v>4.4809999999999999</v>
      </c>
      <c r="F43" s="744">
        <v>0.308</v>
      </c>
      <c r="G43" s="748">
        <v>4.9870000000000001</v>
      </c>
      <c r="H43" s="748">
        <v>23.808</v>
      </c>
      <c r="I43" s="748">
        <v>22.327000000000002</v>
      </c>
      <c r="J43" s="744"/>
      <c r="K43" s="750">
        <f>SUM(B43:J43)</f>
        <v>607.37399999999991</v>
      </c>
      <c r="L43" s="740"/>
    </row>
    <row r="44" spans="1:12" s="756" customFormat="1" hidden="1">
      <c r="A44" s="746" t="s">
        <v>70</v>
      </c>
      <c r="B44" s="755">
        <v>3.141</v>
      </c>
      <c r="C44" s="748">
        <v>408.16300000000001</v>
      </c>
      <c r="D44" s="748">
        <v>116.235</v>
      </c>
      <c r="E44" s="748">
        <v>5.2709999999999999</v>
      </c>
      <c r="F44" s="744">
        <v>0.68300000000000005</v>
      </c>
      <c r="G44" s="748">
        <v>4.2519999999999998</v>
      </c>
      <c r="H44" s="748">
        <v>22.414999999999999</v>
      </c>
      <c r="I44" s="748">
        <v>23.838999999999999</v>
      </c>
      <c r="J44" s="744"/>
      <c r="K44" s="750">
        <f>SUM(B44:J44)</f>
        <v>583.9989999999998</v>
      </c>
      <c r="L44" s="740"/>
    </row>
    <row r="45" spans="1:12" s="756" customFormat="1">
      <c r="A45" s="746" t="s">
        <v>71</v>
      </c>
      <c r="B45" s="755">
        <v>2.621</v>
      </c>
      <c r="C45" s="748">
        <f>282.039+194.005</f>
        <v>476.04399999999998</v>
      </c>
      <c r="D45" s="748">
        <v>142.94200000000001</v>
      </c>
      <c r="E45" s="748">
        <v>4.0250000000000004</v>
      </c>
      <c r="F45" s="744" t="s">
        <v>290</v>
      </c>
      <c r="G45" s="748">
        <v>3.214</v>
      </c>
      <c r="H45" s="748">
        <v>22.739000000000001</v>
      </c>
      <c r="I45" s="748">
        <v>22.529</v>
      </c>
      <c r="J45" s="744"/>
      <c r="K45" s="750">
        <f>SUM(B45:J45)</f>
        <v>674.11400000000003</v>
      </c>
      <c r="L45" s="739"/>
    </row>
    <row r="46" spans="1:12" ht="14.25">
      <c r="A46" s="746" t="s">
        <v>265</v>
      </c>
      <c r="B46" s="755">
        <v>2.1859999999999999</v>
      </c>
      <c r="C46" s="748">
        <v>360.08100000000002</v>
      </c>
      <c r="D46" s="748">
        <v>121.319</v>
      </c>
      <c r="E46" s="748">
        <v>5.4050000000000002</v>
      </c>
      <c r="F46" s="744" t="s">
        <v>290</v>
      </c>
      <c r="G46" s="748">
        <v>1.756</v>
      </c>
      <c r="H46" s="748">
        <v>21.744</v>
      </c>
      <c r="I46" s="748">
        <v>20.344000000000001</v>
      </c>
      <c r="J46" s="744"/>
      <c r="K46" s="750">
        <f>SUM(B46:J46)</f>
        <v>532.83500000000004</v>
      </c>
      <c r="L46" s="739"/>
    </row>
    <row r="47" spans="1:12" hidden="1">
      <c r="A47" s="746" t="s">
        <v>72</v>
      </c>
      <c r="B47" s="755">
        <v>1.5840000000000001</v>
      </c>
      <c r="C47" s="748">
        <v>340.20800000000003</v>
      </c>
      <c r="D47" s="748">
        <v>113.86199999999999</v>
      </c>
      <c r="E47" s="748">
        <v>7.7119999999999997</v>
      </c>
      <c r="F47" s="744" t="s">
        <v>290</v>
      </c>
      <c r="G47" s="748">
        <v>2.2309999999999999</v>
      </c>
      <c r="H47" s="748">
        <v>24.41</v>
      </c>
      <c r="I47" s="748">
        <v>1.988</v>
      </c>
      <c r="J47" s="744"/>
      <c r="K47" s="750">
        <v>491.995</v>
      </c>
      <c r="L47" s="740"/>
    </row>
    <row r="48" spans="1:12" hidden="1">
      <c r="A48" s="746" t="s">
        <v>73</v>
      </c>
      <c r="B48" s="755">
        <v>2.2549999999999999</v>
      </c>
      <c r="C48" s="748">
        <v>337.97399999999999</v>
      </c>
      <c r="D48" s="748">
        <v>146.94399999999999</v>
      </c>
      <c r="E48" s="748">
        <v>7.2110000000000003</v>
      </c>
      <c r="F48" s="744" t="s">
        <v>290</v>
      </c>
      <c r="G48" s="748">
        <v>2.6659999999999999</v>
      </c>
      <c r="H48" s="748">
        <v>26.638000000000002</v>
      </c>
      <c r="I48" s="748">
        <v>18.276</v>
      </c>
      <c r="J48" s="744"/>
      <c r="K48" s="750">
        <v>541.96399999999994</v>
      </c>
      <c r="L48" s="740"/>
    </row>
    <row r="49" spans="1:12">
      <c r="A49" s="746" t="s">
        <v>74</v>
      </c>
      <c r="B49" s="755">
        <v>2.1819999999999999</v>
      </c>
      <c r="C49" s="748">
        <v>278.01300000000003</v>
      </c>
      <c r="D49" s="748">
        <v>103.42100000000001</v>
      </c>
      <c r="E49" s="748">
        <v>7.8490000000000002</v>
      </c>
      <c r="F49" s="744" t="s">
        <v>290</v>
      </c>
      <c r="G49" s="748">
        <v>2.9350000000000001</v>
      </c>
      <c r="H49" s="748">
        <v>28.760999999999999</v>
      </c>
      <c r="I49" s="748">
        <v>14.352</v>
      </c>
      <c r="J49" s="744"/>
      <c r="K49" s="750">
        <v>437.51300000000003</v>
      </c>
      <c r="L49" s="740"/>
    </row>
    <row r="50" spans="1:12" s="756" customFormat="1">
      <c r="A50" s="746" t="s">
        <v>75</v>
      </c>
      <c r="B50" s="755">
        <v>0.76900000000000002</v>
      </c>
      <c r="C50" s="748">
        <v>270.94400000000002</v>
      </c>
      <c r="D50" s="748">
        <v>135.46100000000001</v>
      </c>
      <c r="E50" s="748">
        <v>8.86</v>
      </c>
      <c r="F50" s="744" t="s">
        <v>290</v>
      </c>
      <c r="G50" s="748">
        <v>7.1449999999999996</v>
      </c>
      <c r="H50" s="748">
        <v>35.765999999999998</v>
      </c>
      <c r="I50" s="748">
        <v>9.2539999999999996</v>
      </c>
      <c r="J50" s="744"/>
      <c r="K50" s="750">
        <f>SUM(B50:J50)</f>
        <v>468.19900000000007</v>
      </c>
      <c r="L50" s="740"/>
    </row>
    <row r="51" spans="1:12" s="756" customFormat="1">
      <c r="A51" s="746" t="s">
        <v>76</v>
      </c>
      <c r="B51" s="755">
        <v>2.6219999999999999</v>
      </c>
      <c r="C51" s="748">
        <v>383.02</v>
      </c>
      <c r="D51" s="748">
        <v>186.42500000000001</v>
      </c>
      <c r="E51" s="748">
        <v>10.388999999999999</v>
      </c>
      <c r="F51" s="744" t="s">
        <v>290</v>
      </c>
      <c r="G51" s="748">
        <v>6.3860000000000001</v>
      </c>
      <c r="H51" s="748">
        <v>55.728999999999999</v>
      </c>
      <c r="I51" s="748">
        <v>6.5369999999999999</v>
      </c>
      <c r="J51" s="744"/>
      <c r="K51" s="750">
        <v>651.10800000000006</v>
      </c>
      <c r="L51" s="740"/>
    </row>
    <row r="52" spans="1:12" s="756" customFormat="1">
      <c r="A52" s="746" t="s">
        <v>77</v>
      </c>
      <c r="B52" s="755">
        <v>3.2749999999999999</v>
      </c>
      <c r="C52" s="748">
        <v>292.738</v>
      </c>
      <c r="D52" s="748">
        <v>139.74</v>
      </c>
      <c r="E52" s="748">
        <v>7.3559999999999999</v>
      </c>
      <c r="F52" s="744" t="s">
        <v>290</v>
      </c>
      <c r="G52" s="748">
        <v>4.6890000000000001</v>
      </c>
      <c r="H52" s="748">
        <v>61.496000000000002</v>
      </c>
      <c r="I52" s="748">
        <v>5.0129999999999999</v>
      </c>
      <c r="J52" s="744"/>
      <c r="K52" s="750">
        <f>SUM(B52:J52)</f>
        <v>514.30700000000002</v>
      </c>
      <c r="L52" s="758"/>
    </row>
    <row r="53" spans="1:12" s="756" customFormat="1">
      <c r="A53" s="746" t="s">
        <v>78</v>
      </c>
      <c r="B53" s="755">
        <v>2.266</v>
      </c>
      <c r="C53" s="748">
        <v>325.08999999999997</v>
      </c>
      <c r="D53" s="748">
        <v>103.88500000000001</v>
      </c>
      <c r="E53" s="748">
        <v>7.4059999999999997</v>
      </c>
      <c r="F53" s="744" t="s">
        <v>290</v>
      </c>
      <c r="G53" s="748">
        <v>1.8120000000000001</v>
      </c>
      <c r="H53" s="748">
        <v>74.454999999999998</v>
      </c>
      <c r="I53" s="748">
        <v>6.6360000000000001</v>
      </c>
      <c r="J53" s="744"/>
      <c r="K53" s="750">
        <v>521.54999999999995</v>
      </c>
      <c r="L53" s="739"/>
    </row>
    <row r="54" spans="1:12" s="756" customFormat="1">
      <c r="A54" s="746" t="s">
        <v>79</v>
      </c>
      <c r="B54" s="759">
        <v>2.2690000000000001</v>
      </c>
      <c r="C54" s="760">
        <v>289.49</v>
      </c>
      <c r="D54" s="760">
        <v>99.057000000000002</v>
      </c>
      <c r="E54" s="760">
        <v>9.8040000000000003</v>
      </c>
      <c r="F54" s="744" t="s">
        <v>290</v>
      </c>
      <c r="G54" s="760">
        <v>1.0189999999999999</v>
      </c>
      <c r="H54" s="760">
        <v>85.072000000000003</v>
      </c>
      <c r="I54" s="760">
        <v>18.556999999999999</v>
      </c>
      <c r="J54" s="761"/>
      <c r="K54" s="750">
        <f>SUM(B54:J54)</f>
        <v>505.26800000000003</v>
      </c>
      <c r="L54" s="758"/>
    </row>
    <row r="55" spans="1:12" s="756" customFormat="1" ht="14.25">
      <c r="A55" s="762" t="s">
        <v>291</v>
      </c>
      <c r="B55" s="763" t="s">
        <v>134</v>
      </c>
      <c r="C55" s="763" t="s">
        <v>134</v>
      </c>
      <c r="D55" s="763" t="s">
        <v>134</v>
      </c>
      <c r="E55" s="763" t="s">
        <v>134</v>
      </c>
      <c r="F55" s="763" t="s">
        <v>134</v>
      </c>
      <c r="G55" s="763" t="s">
        <v>134</v>
      </c>
      <c r="H55" s="763" t="s">
        <v>134</v>
      </c>
      <c r="I55" s="763" t="s">
        <v>134</v>
      </c>
      <c r="J55" s="764" t="s">
        <v>134</v>
      </c>
      <c r="K55" s="765" t="s">
        <v>134</v>
      </c>
      <c r="L55" s="757"/>
    </row>
    <row r="56" spans="1:12" s="756" customFormat="1">
      <c r="A56" s="762" t="s">
        <v>81</v>
      </c>
      <c r="B56" s="763" t="s">
        <v>134</v>
      </c>
      <c r="C56" s="763" t="s">
        <v>134</v>
      </c>
      <c r="D56" s="763" t="s">
        <v>134</v>
      </c>
      <c r="E56" s="763" t="s">
        <v>134</v>
      </c>
      <c r="F56" s="763" t="s">
        <v>134</v>
      </c>
      <c r="G56" s="763" t="s">
        <v>134</v>
      </c>
      <c r="H56" s="763" t="s">
        <v>134</v>
      </c>
      <c r="I56" s="763" t="s">
        <v>134</v>
      </c>
      <c r="J56" s="764" t="s">
        <v>134</v>
      </c>
      <c r="K56" s="765" t="s">
        <v>134</v>
      </c>
      <c r="L56" s="739"/>
    </row>
    <row r="57" spans="1:12" s="756" customFormat="1">
      <c r="A57" s="766" t="s">
        <v>82</v>
      </c>
      <c r="B57" s="767" t="s">
        <v>134</v>
      </c>
      <c r="C57" s="767" t="s">
        <v>134</v>
      </c>
      <c r="D57" s="767" t="s">
        <v>134</v>
      </c>
      <c r="E57" s="767" t="s">
        <v>134</v>
      </c>
      <c r="F57" s="767" t="s">
        <v>134</v>
      </c>
      <c r="G57" s="767" t="s">
        <v>134</v>
      </c>
      <c r="H57" s="767" t="s">
        <v>134</v>
      </c>
      <c r="I57" s="767" t="s">
        <v>134</v>
      </c>
      <c r="J57" s="768" t="s">
        <v>134</v>
      </c>
      <c r="K57" s="769" t="s">
        <v>134</v>
      </c>
      <c r="L57" s="739"/>
    </row>
    <row r="58" spans="1:12" s="726" customFormat="1" ht="17.100000000000001" customHeight="1">
      <c r="A58" s="770"/>
      <c r="B58" s="771"/>
      <c r="C58" s="772"/>
      <c r="D58" s="773"/>
      <c r="E58" s="773"/>
      <c r="F58" s="773"/>
      <c r="G58" s="773"/>
      <c r="H58" s="774"/>
      <c r="I58" s="775"/>
      <c r="J58" s="775"/>
      <c r="K58" s="770"/>
      <c r="L58" s="739"/>
    </row>
    <row r="59" spans="1:12" s="726" customFormat="1" ht="14.25">
      <c r="A59" s="731" t="s">
        <v>292</v>
      </c>
      <c r="B59" s="776" t="s">
        <v>293</v>
      </c>
      <c r="C59" s="777" t="s">
        <v>294</v>
      </c>
      <c r="D59" s="777" t="s">
        <v>241</v>
      </c>
      <c r="E59" s="777" t="s">
        <v>295</v>
      </c>
      <c r="F59" s="776" t="s">
        <v>287</v>
      </c>
      <c r="G59" s="731" t="s">
        <v>244</v>
      </c>
      <c r="H59" s="775"/>
      <c r="I59" s="731" t="s">
        <v>245</v>
      </c>
      <c r="J59" s="775"/>
      <c r="K59" s="770"/>
    </row>
    <row r="60" spans="1:12" s="781" customFormat="1" hidden="1">
      <c r="A60" s="734" t="s">
        <v>61</v>
      </c>
      <c r="B60" s="735">
        <v>17</v>
      </c>
      <c r="C60" s="736">
        <v>27</v>
      </c>
      <c r="D60" s="736">
        <v>57</v>
      </c>
      <c r="E60" s="736">
        <v>31</v>
      </c>
      <c r="F60" s="778">
        <v>25</v>
      </c>
      <c r="G60" s="779">
        <f>SUM(B60:F60)</f>
        <v>157</v>
      </c>
      <c r="H60" s="780"/>
      <c r="I60" s="779">
        <f>669+157</f>
        <v>826</v>
      </c>
      <c r="J60" s="780"/>
      <c r="K60" s="780"/>
    </row>
    <row r="61" spans="1:12" s="756" customFormat="1" hidden="1">
      <c r="A61" s="741" t="s">
        <v>63</v>
      </c>
      <c r="B61" s="742">
        <v>63</v>
      </c>
      <c r="C61" s="743">
        <v>33</v>
      </c>
      <c r="D61" s="743">
        <v>55</v>
      </c>
      <c r="E61" s="743">
        <v>65</v>
      </c>
      <c r="F61" s="782">
        <v>13</v>
      </c>
      <c r="G61" s="783">
        <f>SUM(B61:F61)</f>
        <v>229</v>
      </c>
      <c r="H61" s="784"/>
      <c r="I61" s="783">
        <v>818</v>
      </c>
      <c r="J61" s="784"/>
      <c r="K61" s="784"/>
    </row>
    <row r="62" spans="1:12" s="756" customFormat="1" hidden="1">
      <c r="A62" s="741" t="s">
        <v>64</v>
      </c>
      <c r="B62" s="759">
        <v>29</v>
      </c>
      <c r="C62" s="749">
        <v>1</v>
      </c>
      <c r="D62" s="749">
        <v>2</v>
      </c>
      <c r="E62" s="749">
        <v>26</v>
      </c>
      <c r="F62" s="785">
        <v>36</v>
      </c>
      <c r="G62" s="786">
        <v>93</v>
      </c>
      <c r="H62" s="784"/>
      <c r="I62" s="786">
        <f>K38+G62</f>
        <v>682</v>
      </c>
      <c r="J62" s="784"/>
      <c r="K62" s="784"/>
    </row>
    <row r="63" spans="1:12" s="756" customFormat="1" hidden="1">
      <c r="A63" s="741" t="s">
        <v>65</v>
      </c>
      <c r="B63" s="759">
        <f>13.269</f>
        <v>13.269</v>
      </c>
      <c r="C63" s="744" t="s">
        <v>290</v>
      </c>
      <c r="D63" s="744" t="s">
        <v>290</v>
      </c>
      <c r="E63" s="749">
        <v>30.966000000000001</v>
      </c>
      <c r="F63" s="785">
        <v>9.7899999999999991</v>
      </c>
      <c r="G63" s="786">
        <f>SUM(B63:F63)</f>
        <v>54.024999999999999</v>
      </c>
      <c r="H63" s="784"/>
      <c r="I63" s="786">
        <f>K39+G63</f>
        <v>628.64800000000002</v>
      </c>
      <c r="J63" s="784"/>
      <c r="K63" s="784"/>
    </row>
    <row r="64" spans="1:12" s="756" customFormat="1" hidden="1">
      <c r="A64" s="741" t="s">
        <v>66</v>
      </c>
      <c r="B64" s="755" t="s">
        <v>290</v>
      </c>
      <c r="C64" s="744" t="s">
        <v>290</v>
      </c>
      <c r="D64" s="749">
        <v>2.524</v>
      </c>
      <c r="E64" s="749">
        <v>16.783000000000001</v>
      </c>
      <c r="F64" s="785">
        <v>11.725</v>
      </c>
      <c r="G64" s="786">
        <f>SUM(B64:F64)</f>
        <v>31.032000000000004</v>
      </c>
      <c r="H64" s="784"/>
      <c r="I64" s="786">
        <f>K40+G64</f>
        <v>578.976</v>
      </c>
      <c r="J64" s="784"/>
      <c r="K64" s="784"/>
    </row>
    <row r="65" spans="1:11" s="756" customFormat="1">
      <c r="A65" s="741" t="s">
        <v>67</v>
      </c>
      <c r="B65" s="755">
        <v>0.14099999999999999</v>
      </c>
      <c r="C65" s="744">
        <v>0.48599999999999999</v>
      </c>
      <c r="D65" s="749">
        <v>6.3E-2</v>
      </c>
      <c r="E65" s="749">
        <v>10.257</v>
      </c>
      <c r="F65" s="785">
        <v>16.678999999999998</v>
      </c>
      <c r="G65" s="786">
        <v>27.625999999999998</v>
      </c>
      <c r="H65" s="784"/>
      <c r="I65" s="786">
        <v>573.70400000000006</v>
      </c>
      <c r="J65" s="784"/>
      <c r="K65" s="784"/>
    </row>
    <row r="66" spans="1:11" s="756" customFormat="1" hidden="1">
      <c r="A66" s="741" t="s">
        <v>68</v>
      </c>
      <c r="B66" s="755" t="s">
        <v>290</v>
      </c>
      <c r="C66" s="744" t="s">
        <v>290</v>
      </c>
      <c r="D66" s="749">
        <v>5.48</v>
      </c>
      <c r="E66" s="749">
        <v>18.847000000000001</v>
      </c>
      <c r="F66" s="785">
        <v>14.358000000000001</v>
      </c>
      <c r="G66" s="786">
        <f>SUM(B66:F66)</f>
        <v>38.685000000000002</v>
      </c>
      <c r="H66" s="784"/>
      <c r="I66" s="786">
        <f t="shared" ref="I66:I71" si="0">K42+G66</f>
        <v>643.54299999999989</v>
      </c>
      <c r="J66" s="784"/>
      <c r="K66" s="784"/>
    </row>
    <row r="67" spans="1:11" s="756" customFormat="1" hidden="1">
      <c r="A67" s="741" t="s">
        <v>69</v>
      </c>
      <c r="B67" s="755" t="s">
        <v>290</v>
      </c>
      <c r="C67" s="744">
        <v>0.27</v>
      </c>
      <c r="D67" s="749">
        <v>9.2349999999999994</v>
      </c>
      <c r="E67" s="749">
        <v>27.082000000000001</v>
      </c>
      <c r="F67" s="785">
        <v>14.708</v>
      </c>
      <c r="G67" s="786">
        <f>SUM(B67:F67)</f>
        <v>51.295000000000002</v>
      </c>
      <c r="H67" s="784"/>
      <c r="I67" s="786">
        <f t="shared" si="0"/>
        <v>658.66899999999987</v>
      </c>
      <c r="J67" s="784"/>
      <c r="K67" s="784"/>
    </row>
    <row r="68" spans="1:11" s="793" customFormat="1" hidden="1">
      <c r="A68" s="787" t="s">
        <v>70</v>
      </c>
      <c r="B68" s="788" t="s">
        <v>290</v>
      </c>
      <c r="C68" s="789">
        <v>2.5000000000000001E-2</v>
      </c>
      <c r="D68" s="790">
        <v>0.94</v>
      </c>
      <c r="E68" s="790">
        <v>41.99</v>
      </c>
      <c r="F68" s="791">
        <v>21.901</v>
      </c>
      <c r="G68" s="786">
        <f>SUM(B68:F68)</f>
        <v>64.856000000000009</v>
      </c>
      <c r="H68" s="792"/>
      <c r="I68" s="786">
        <f t="shared" si="0"/>
        <v>648.85499999999979</v>
      </c>
      <c r="J68" s="792"/>
      <c r="K68" s="792"/>
    </row>
    <row r="69" spans="1:11" s="756" customFormat="1">
      <c r="A69" s="741" t="s">
        <v>71</v>
      </c>
      <c r="B69" s="755" t="s">
        <v>290</v>
      </c>
      <c r="C69" s="744">
        <v>0.16800000000000001</v>
      </c>
      <c r="D69" s="749">
        <v>3.3849999999999998</v>
      </c>
      <c r="E69" s="749">
        <v>103.98399999999999</v>
      </c>
      <c r="F69" s="749">
        <v>19.495999999999999</v>
      </c>
      <c r="G69" s="786">
        <f>SUM(B69:F69)</f>
        <v>127.03299999999999</v>
      </c>
      <c r="H69" s="784"/>
      <c r="I69" s="786">
        <f t="shared" si="0"/>
        <v>801.14700000000005</v>
      </c>
      <c r="J69" s="784"/>
      <c r="K69" s="784"/>
    </row>
    <row r="70" spans="1:11" ht="14.25">
      <c r="A70" s="741" t="s">
        <v>296</v>
      </c>
      <c r="B70" s="755" t="s">
        <v>290</v>
      </c>
      <c r="C70" s="744" t="s">
        <v>290</v>
      </c>
      <c r="D70" s="749">
        <v>4.6100000000000003</v>
      </c>
      <c r="E70" s="749">
        <v>91.234999999999999</v>
      </c>
      <c r="F70" s="749">
        <v>29.75</v>
      </c>
      <c r="G70" s="786">
        <f>SUM(B70:F70)</f>
        <v>125.595</v>
      </c>
      <c r="H70" s="794"/>
      <c r="I70" s="786">
        <f t="shared" si="0"/>
        <v>658.43000000000006</v>
      </c>
      <c r="J70" s="794"/>
      <c r="K70" s="784"/>
    </row>
    <row r="71" spans="1:11" s="801" customFormat="1" hidden="1">
      <c r="A71" s="795" t="s">
        <v>72</v>
      </c>
      <c r="B71" s="796" t="s">
        <v>290</v>
      </c>
      <c r="C71" s="797" t="s">
        <v>290</v>
      </c>
      <c r="D71" s="798">
        <v>1.7969999999999999</v>
      </c>
      <c r="E71" s="798">
        <v>89.951999999999998</v>
      </c>
      <c r="F71" s="798">
        <v>49.442</v>
      </c>
      <c r="G71" s="799">
        <v>141.191</v>
      </c>
      <c r="H71" s="800"/>
      <c r="I71" s="799">
        <f t="shared" si="0"/>
        <v>633.18600000000004</v>
      </c>
      <c r="J71" s="800"/>
      <c r="K71" s="800"/>
    </row>
    <row r="72" spans="1:11" hidden="1">
      <c r="A72" s="741" t="s">
        <v>73</v>
      </c>
      <c r="B72" s="755" t="s">
        <v>290</v>
      </c>
      <c r="C72" s="744" t="s">
        <v>290</v>
      </c>
      <c r="D72" s="744" t="s">
        <v>290</v>
      </c>
      <c r="E72" s="749">
        <v>74.558000000000007</v>
      </c>
      <c r="F72" s="749">
        <v>40.905000000000001</v>
      </c>
      <c r="G72" s="786">
        <v>115.46300000000001</v>
      </c>
      <c r="H72" s="794"/>
      <c r="I72" s="786">
        <v>657.42699999999991</v>
      </c>
      <c r="J72" s="794"/>
      <c r="K72" s="784"/>
    </row>
    <row r="73" spans="1:11">
      <c r="A73" s="741" t="s">
        <v>74</v>
      </c>
      <c r="B73" s="755" t="s">
        <v>290</v>
      </c>
      <c r="C73" s="744" t="s">
        <v>290</v>
      </c>
      <c r="D73" s="744" t="s">
        <v>290</v>
      </c>
      <c r="E73" s="749">
        <v>36.456000000000003</v>
      </c>
      <c r="F73" s="749">
        <v>62.514000000000003</v>
      </c>
      <c r="G73" s="786">
        <v>98.97</v>
      </c>
      <c r="H73" s="794"/>
      <c r="I73" s="786">
        <v>536.48300000000006</v>
      </c>
      <c r="J73" s="794"/>
      <c r="K73" s="784"/>
    </row>
    <row r="74" spans="1:11" s="756" customFormat="1">
      <c r="A74" s="741" t="s">
        <v>75</v>
      </c>
      <c r="B74" s="755" t="s">
        <v>290</v>
      </c>
      <c r="C74" s="744" t="s">
        <v>290</v>
      </c>
      <c r="D74" s="744" t="s">
        <v>290</v>
      </c>
      <c r="E74" s="749">
        <v>32.326000000000001</v>
      </c>
      <c r="F74" s="749">
        <v>22.312000000000001</v>
      </c>
      <c r="G74" s="786">
        <f>SUM(B74:F74)</f>
        <v>54.638000000000005</v>
      </c>
      <c r="H74" s="784"/>
      <c r="I74" s="786">
        <f>K50+G74</f>
        <v>522.8370000000001</v>
      </c>
      <c r="J74" s="784"/>
      <c r="K74" s="784"/>
    </row>
    <row r="75" spans="1:11" s="756" customFormat="1">
      <c r="A75" s="741" t="s">
        <v>76</v>
      </c>
      <c r="B75" s="755" t="s">
        <v>290</v>
      </c>
      <c r="C75" s="744" t="s">
        <v>290</v>
      </c>
      <c r="D75" s="744" t="s">
        <v>290</v>
      </c>
      <c r="E75" s="749">
        <v>44.515999999999998</v>
      </c>
      <c r="F75" s="749">
        <v>20.96</v>
      </c>
      <c r="G75" s="786">
        <v>65.475999999999999</v>
      </c>
      <c r="H75" s="784"/>
      <c r="I75" s="786">
        <v>716.58400000000006</v>
      </c>
      <c r="J75" s="784"/>
      <c r="K75" s="784"/>
    </row>
    <row r="76" spans="1:11" s="756" customFormat="1">
      <c r="A76" s="741" t="s">
        <v>77</v>
      </c>
      <c r="B76" s="755" t="s">
        <v>290</v>
      </c>
      <c r="C76" s="744" t="s">
        <v>290</v>
      </c>
      <c r="D76" s="744">
        <v>8.1000000000000003E-2</v>
      </c>
      <c r="E76" s="749">
        <v>47.268000000000001</v>
      </c>
      <c r="F76" s="749">
        <v>20.594999999999999</v>
      </c>
      <c r="G76" s="786">
        <f>SUM(B76:F76)</f>
        <v>67.944000000000003</v>
      </c>
      <c r="H76" s="784"/>
      <c r="I76" s="786">
        <f>K52+G76</f>
        <v>582.25099999999998</v>
      </c>
      <c r="J76" s="784"/>
      <c r="K76" s="784"/>
    </row>
    <row r="77" spans="1:11" s="756" customFormat="1">
      <c r="A77" s="741" t="s">
        <v>78</v>
      </c>
      <c r="B77" s="755" t="s">
        <v>290</v>
      </c>
      <c r="C77" s="744" t="s">
        <v>290</v>
      </c>
      <c r="D77" s="744">
        <v>0.78100000000000003</v>
      </c>
      <c r="E77" s="749">
        <v>46.134999999999998</v>
      </c>
      <c r="F77" s="749">
        <v>23.553999999999998</v>
      </c>
      <c r="G77" s="786">
        <v>70.47</v>
      </c>
      <c r="H77" s="784"/>
      <c r="I77" s="786">
        <v>592.02</v>
      </c>
      <c r="J77" s="784"/>
      <c r="K77" s="784"/>
    </row>
    <row r="78" spans="1:11" s="756" customFormat="1">
      <c r="A78" s="746" t="s">
        <v>79</v>
      </c>
      <c r="B78" s="755" t="s">
        <v>290</v>
      </c>
      <c r="C78" s="802" t="s">
        <v>134</v>
      </c>
      <c r="D78" s="744">
        <v>0.93400000000000005</v>
      </c>
      <c r="E78" s="749">
        <v>46.274000000000001</v>
      </c>
      <c r="F78" s="749">
        <v>18.526</v>
      </c>
      <c r="G78" s="786">
        <f>SUM(B78:F78)</f>
        <v>65.733999999999995</v>
      </c>
      <c r="H78" s="784"/>
      <c r="I78" s="786">
        <f>K54+G78</f>
        <v>571.00200000000007</v>
      </c>
      <c r="J78" s="784"/>
      <c r="K78" s="784"/>
    </row>
    <row r="79" spans="1:11" s="756" customFormat="1" ht="14.25">
      <c r="A79" s="762" t="s">
        <v>291</v>
      </c>
      <c r="B79" s="803" t="s">
        <v>134</v>
      </c>
      <c r="C79" s="803" t="s">
        <v>134</v>
      </c>
      <c r="D79" s="803" t="s">
        <v>134</v>
      </c>
      <c r="E79" s="803" t="s">
        <v>134</v>
      </c>
      <c r="F79" s="803" t="s">
        <v>134</v>
      </c>
      <c r="G79" s="804" t="s">
        <v>134</v>
      </c>
      <c r="H79" s="805"/>
      <c r="I79" s="806" t="s">
        <v>134</v>
      </c>
      <c r="J79" s="784"/>
      <c r="K79" s="784"/>
    </row>
    <row r="80" spans="1:11" s="808" customFormat="1">
      <c r="A80" s="762" t="s">
        <v>81</v>
      </c>
      <c r="B80" s="803" t="s">
        <v>134</v>
      </c>
      <c r="C80" s="803" t="s">
        <v>134</v>
      </c>
      <c r="D80" s="803" t="s">
        <v>134</v>
      </c>
      <c r="E80" s="803" t="s">
        <v>134</v>
      </c>
      <c r="F80" s="803" t="s">
        <v>134</v>
      </c>
      <c r="G80" s="804" t="s">
        <v>134</v>
      </c>
      <c r="H80" s="805"/>
      <c r="I80" s="806" t="s">
        <v>134</v>
      </c>
      <c r="J80" s="807"/>
      <c r="K80" s="807"/>
    </row>
    <row r="81" spans="1:11" s="808" customFormat="1">
      <c r="A81" s="766" t="s">
        <v>82</v>
      </c>
      <c r="B81" s="809" t="s">
        <v>134</v>
      </c>
      <c r="C81" s="809" t="s">
        <v>134</v>
      </c>
      <c r="D81" s="809" t="s">
        <v>134</v>
      </c>
      <c r="E81" s="809" t="s">
        <v>134</v>
      </c>
      <c r="F81" s="809" t="s">
        <v>134</v>
      </c>
      <c r="G81" s="810" t="s">
        <v>134</v>
      </c>
      <c r="H81" s="811"/>
      <c r="I81" s="812" t="s">
        <v>134</v>
      </c>
      <c r="J81" s="807"/>
      <c r="K81" s="807"/>
    </row>
    <row r="82" spans="1:11" s="808" customFormat="1">
      <c r="A82" s="813"/>
      <c r="B82" s="814"/>
      <c r="C82" s="814" t="s">
        <v>246</v>
      </c>
      <c r="D82" s="814"/>
      <c r="E82" s="814"/>
      <c r="F82" s="815"/>
      <c r="G82" s="807"/>
      <c r="H82" s="816"/>
      <c r="I82" s="807"/>
      <c r="J82" s="807"/>
      <c r="K82" s="807"/>
    </row>
    <row r="83" spans="1:11" s="808" customFormat="1" ht="14.25">
      <c r="A83" s="731" t="s">
        <v>266</v>
      </c>
      <c r="B83" s="817" t="s">
        <v>247</v>
      </c>
      <c r="C83" s="817" t="s">
        <v>248</v>
      </c>
      <c r="D83" s="817" t="s">
        <v>249</v>
      </c>
      <c r="E83" s="817" t="s">
        <v>250</v>
      </c>
      <c r="F83" s="818" t="s">
        <v>245</v>
      </c>
      <c r="G83" s="807"/>
      <c r="H83" s="807"/>
      <c r="I83" s="807"/>
      <c r="J83" s="807"/>
      <c r="K83" s="807"/>
    </row>
    <row r="84" spans="1:11" s="808" customFormat="1">
      <c r="A84" s="741" t="s">
        <v>71</v>
      </c>
      <c r="B84" s="819">
        <v>478.66499999999996</v>
      </c>
      <c r="C84" s="819">
        <v>169.49600000000001</v>
      </c>
      <c r="D84" s="819">
        <v>25.952999999999999</v>
      </c>
      <c r="E84" s="819">
        <v>127.03299999999999</v>
      </c>
      <c r="F84" s="820">
        <f>SUM($B$84:$E$84)</f>
        <v>801.14699999999993</v>
      </c>
      <c r="G84" s="807"/>
      <c r="H84" s="807"/>
      <c r="I84" s="807"/>
      <c r="J84" s="807"/>
      <c r="K84" s="807"/>
    </row>
    <row r="85" spans="1:11" s="808" customFormat="1">
      <c r="A85" s="821" t="s">
        <v>168</v>
      </c>
      <c r="B85" s="819">
        <v>362.267</v>
      </c>
      <c r="C85" s="819">
        <v>147.06800000000001</v>
      </c>
      <c r="D85" s="819">
        <v>23.5</v>
      </c>
      <c r="E85" s="819">
        <v>125.595</v>
      </c>
      <c r="F85" s="820">
        <f>SUM($B85:$E85)</f>
        <v>658.43000000000006</v>
      </c>
      <c r="G85" s="807"/>
      <c r="H85" s="807"/>
      <c r="I85" s="807"/>
      <c r="J85" s="822"/>
      <c r="K85" s="807"/>
    </row>
    <row r="86" spans="1:11" s="827" customFormat="1" hidden="1">
      <c r="A86" s="823" t="s">
        <v>72</v>
      </c>
      <c r="B86" s="824">
        <v>341.79200000000003</v>
      </c>
      <c r="C86" s="824">
        <v>123.562</v>
      </c>
      <c r="D86" s="824">
        <v>26.640999999999998</v>
      </c>
      <c r="E86" s="824">
        <v>141.191</v>
      </c>
      <c r="F86" s="825" t="e">
        <f>SUM(#REF!)</f>
        <v>#REF!</v>
      </c>
      <c r="G86" s="826"/>
      <c r="H86" s="826"/>
      <c r="I86" s="826"/>
      <c r="J86" s="826"/>
      <c r="K86" s="826"/>
    </row>
    <row r="87" spans="1:11" ht="11.25" hidden="1" customHeight="1">
      <c r="A87" s="821" t="s">
        <v>73</v>
      </c>
      <c r="B87" s="819">
        <v>340.22899999999998</v>
      </c>
      <c r="C87" s="819">
        <v>172.43100000000001</v>
      </c>
      <c r="D87" s="819">
        <v>29.304000000000002</v>
      </c>
      <c r="E87" s="819">
        <v>115.46300000000001</v>
      </c>
      <c r="F87" s="820" t="e">
        <f>SUM(#REF!)</f>
        <v>#REF!</v>
      </c>
      <c r="G87" s="794"/>
      <c r="H87" s="794"/>
      <c r="I87" s="794"/>
      <c r="J87" s="794"/>
      <c r="K87" s="794"/>
    </row>
    <row r="88" spans="1:11" hidden="1">
      <c r="A88" s="821" t="s">
        <v>74</v>
      </c>
      <c r="B88" s="819">
        <v>280.19500000000005</v>
      </c>
      <c r="C88" s="819">
        <v>125.62200000000001</v>
      </c>
      <c r="D88" s="819">
        <v>31.695999999999998</v>
      </c>
      <c r="E88" s="819">
        <v>98.97</v>
      </c>
      <c r="F88" s="820">
        <f t="shared" ref="F88:F95" si="1">SUM($B88:$E88)</f>
        <v>536.48300000000006</v>
      </c>
      <c r="G88" s="794"/>
      <c r="H88" s="794"/>
      <c r="I88" s="794"/>
      <c r="J88" s="794"/>
      <c r="K88" s="794"/>
    </row>
    <row r="89" spans="1:11">
      <c r="A89" s="821" t="s">
        <v>75</v>
      </c>
      <c r="B89" s="819">
        <v>271.71300000000002</v>
      </c>
      <c r="C89" s="819">
        <v>153.57500000000002</v>
      </c>
      <c r="D89" s="819">
        <v>42.911000000000001</v>
      </c>
      <c r="E89" s="819">
        <v>54.638000000000005</v>
      </c>
      <c r="F89" s="820">
        <f t="shared" si="1"/>
        <v>522.83699999999999</v>
      </c>
      <c r="G89" s="794"/>
      <c r="H89" s="794"/>
      <c r="I89" s="794"/>
      <c r="J89" s="794"/>
      <c r="K89" s="794"/>
    </row>
    <row r="90" spans="1:11">
      <c r="A90" s="821" t="s">
        <v>76</v>
      </c>
      <c r="B90" s="819">
        <v>385.642</v>
      </c>
      <c r="C90" s="819">
        <v>203.35100000000003</v>
      </c>
      <c r="D90" s="819">
        <v>62.115000000000002</v>
      </c>
      <c r="E90" s="819">
        <v>65.475999999999999</v>
      </c>
      <c r="F90" s="820">
        <f t="shared" si="1"/>
        <v>716.58400000000006</v>
      </c>
      <c r="G90" s="794"/>
      <c r="H90" s="794"/>
      <c r="I90" s="794"/>
      <c r="J90" s="794"/>
      <c r="K90" s="794"/>
    </row>
    <row r="91" spans="1:11">
      <c r="A91" s="821" t="s">
        <v>77</v>
      </c>
      <c r="B91" s="819">
        <v>296.01299999999998</v>
      </c>
      <c r="C91" s="819">
        <v>152.10900000000001</v>
      </c>
      <c r="D91" s="819">
        <v>66.185000000000002</v>
      </c>
      <c r="E91" s="819">
        <v>67.944000000000003</v>
      </c>
      <c r="F91" s="820">
        <f t="shared" si="1"/>
        <v>582.25099999999998</v>
      </c>
      <c r="G91" s="794"/>
      <c r="H91" s="794"/>
      <c r="I91" s="794"/>
      <c r="J91" s="794"/>
      <c r="K91" s="794"/>
    </row>
    <row r="92" spans="1:11">
      <c r="A92" s="821" t="s">
        <v>78</v>
      </c>
      <c r="B92" s="819">
        <v>327.35599999999999</v>
      </c>
      <c r="C92" s="819">
        <v>117.92700000000001</v>
      </c>
      <c r="D92" s="819">
        <v>76.266999999999996</v>
      </c>
      <c r="E92" s="819">
        <v>70.47</v>
      </c>
      <c r="F92" s="820">
        <f t="shared" si="1"/>
        <v>592.02</v>
      </c>
      <c r="G92" s="794"/>
      <c r="H92" s="794"/>
      <c r="I92" s="794"/>
      <c r="J92" s="794"/>
      <c r="K92" s="794"/>
    </row>
    <row r="93" spans="1:11">
      <c r="A93" s="821" t="s">
        <v>79</v>
      </c>
      <c r="B93" s="819">
        <v>291.75900000000001</v>
      </c>
      <c r="C93" s="819">
        <v>127.41800000000001</v>
      </c>
      <c r="D93" s="819">
        <v>86.091000000000008</v>
      </c>
      <c r="E93" s="819">
        <v>65.733999999999995</v>
      </c>
      <c r="F93" s="820">
        <f t="shared" si="1"/>
        <v>571.00200000000007</v>
      </c>
      <c r="G93" s="794"/>
      <c r="H93" s="794"/>
      <c r="I93" s="794"/>
      <c r="J93" s="794"/>
      <c r="K93" s="794"/>
    </row>
    <row r="94" spans="1:11" s="831" customFormat="1">
      <c r="A94" s="828" t="s">
        <v>80</v>
      </c>
      <c r="B94" s="829">
        <v>293.31900000000002</v>
      </c>
      <c r="C94" s="829">
        <v>141.411</v>
      </c>
      <c r="D94" s="829">
        <v>97.009</v>
      </c>
      <c r="E94" s="829">
        <v>65.099000000000004</v>
      </c>
      <c r="F94" s="820">
        <f t="shared" si="1"/>
        <v>596.83800000000008</v>
      </c>
      <c r="G94" s="830"/>
      <c r="H94" s="830"/>
      <c r="I94" s="830"/>
      <c r="J94" s="830"/>
      <c r="K94" s="830"/>
    </row>
    <row r="95" spans="1:11">
      <c r="A95" s="762" t="s">
        <v>81</v>
      </c>
      <c r="B95" s="832">
        <v>282.596</v>
      </c>
      <c r="C95" s="829">
        <v>146.67500000000001</v>
      </c>
      <c r="D95" s="829">
        <v>116.532</v>
      </c>
      <c r="E95" s="833">
        <v>78.635000000000005</v>
      </c>
      <c r="F95" s="820">
        <f t="shared" si="1"/>
        <v>624.43799999999999</v>
      </c>
      <c r="G95" s="794"/>
      <c r="H95" s="794"/>
      <c r="I95" s="794"/>
      <c r="J95" s="794"/>
      <c r="K95" s="794"/>
    </row>
    <row r="96" spans="1:11">
      <c r="A96" s="762" t="s">
        <v>82</v>
      </c>
      <c r="B96" s="832">
        <v>234.95699999999999</v>
      </c>
      <c r="C96" s="829">
        <v>174.55600000000001</v>
      </c>
      <c r="D96" s="829">
        <v>111.994</v>
      </c>
      <c r="E96" s="833">
        <v>83.506</v>
      </c>
      <c r="F96" s="820">
        <v>605.01300000000003</v>
      </c>
      <c r="G96" s="794"/>
      <c r="H96" s="794"/>
      <c r="I96" s="794"/>
      <c r="J96" s="794"/>
      <c r="K96" s="794"/>
    </row>
    <row r="97" spans="1:11">
      <c r="A97" s="766" t="s">
        <v>280</v>
      </c>
      <c r="B97" s="834">
        <v>242.68199999999999</v>
      </c>
      <c r="C97" s="834">
        <v>338.46300000000002</v>
      </c>
      <c r="D97" s="834">
        <v>51.905999999999999</v>
      </c>
      <c r="E97" s="835">
        <v>82.161000000000001</v>
      </c>
      <c r="F97" s="836">
        <f>SUM($B97:$E97)</f>
        <v>715.21199999999999</v>
      </c>
      <c r="G97" s="794"/>
      <c r="H97" s="794"/>
      <c r="I97" s="794"/>
      <c r="J97" s="794"/>
      <c r="K97" s="794"/>
    </row>
    <row r="98" spans="1:11">
      <c r="A98" s="822" t="s">
        <v>251</v>
      </c>
      <c r="B98" s="807"/>
      <c r="C98" s="807"/>
      <c r="D98" s="807"/>
      <c r="E98" s="807"/>
      <c r="F98" s="807"/>
      <c r="G98" s="794"/>
      <c r="H98" s="794"/>
      <c r="I98" s="794"/>
      <c r="J98" s="794"/>
      <c r="K98" s="794"/>
    </row>
    <row r="99" spans="1:11">
      <c r="A99" s="822" t="s">
        <v>252</v>
      </c>
      <c r="B99" s="807"/>
      <c r="C99" s="807"/>
      <c r="D99" s="807"/>
      <c r="E99" s="807"/>
      <c r="F99" s="807"/>
      <c r="G99" s="794"/>
      <c r="H99" s="794"/>
      <c r="I99" s="794"/>
      <c r="J99" s="794"/>
      <c r="K99" s="794"/>
    </row>
    <row r="100" spans="1:11">
      <c r="A100" s="822" t="s">
        <v>283</v>
      </c>
      <c r="B100" s="807"/>
      <c r="C100" s="807"/>
      <c r="D100" s="807"/>
      <c r="E100" s="807"/>
      <c r="F100" s="794"/>
      <c r="G100" s="794"/>
      <c r="H100" s="794"/>
      <c r="I100" s="794"/>
      <c r="J100" s="794"/>
      <c r="K100" s="794"/>
    </row>
    <row r="101" spans="1:11">
      <c r="A101" s="807" t="s">
        <v>284</v>
      </c>
      <c r="B101" s="807"/>
      <c r="C101" s="807"/>
      <c r="D101" s="807"/>
      <c r="E101" s="807"/>
      <c r="F101" s="794"/>
      <c r="G101" s="794"/>
      <c r="H101" s="794"/>
      <c r="I101" s="794"/>
      <c r="J101" s="794"/>
      <c r="K101" s="794"/>
    </row>
    <row r="102" spans="1:11">
      <c r="A102" s="822" t="s">
        <v>297</v>
      </c>
      <c r="B102" s="807"/>
      <c r="C102" s="807"/>
      <c r="D102" s="807"/>
      <c r="E102" s="807"/>
      <c r="F102" s="794"/>
      <c r="G102" s="794"/>
      <c r="H102" s="794"/>
      <c r="I102" s="794"/>
      <c r="J102" s="794"/>
      <c r="K102" s="794"/>
    </row>
    <row r="103" spans="1:11">
      <c r="A103" s="837" t="s">
        <v>298</v>
      </c>
      <c r="B103" s="794"/>
      <c r="C103" s="794"/>
      <c r="D103" s="794"/>
      <c r="E103" s="794"/>
      <c r="F103" s="794"/>
      <c r="G103" s="794"/>
      <c r="H103" s="794"/>
      <c r="I103" s="794"/>
      <c r="J103" s="794"/>
      <c r="K103" s="794"/>
    </row>
    <row r="104" spans="1:11">
      <c r="A104" s="807" t="s">
        <v>299</v>
      </c>
      <c r="B104" s="794"/>
      <c r="C104" s="794"/>
      <c r="D104" s="794"/>
      <c r="E104" s="794"/>
      <c r="F104" s="794"/>
      <c r="G104" s="794"/>
      <c r="H104" s="794"/>
      <c r="I104" s="794"/>
      <c r="J104" s="794"/>
      <c r="K104" s="794"/>
    </row>
    <row r="105" spans="1:11">
      <c r="A105" s="807" t="s">
        <v>300</v>
      </c>
      <c r="B105" s="794"/>
      <c r="C105" s="794"/>
      <c r="D105" s="794"/>
      <c r="E105" s="794"/>
      <c r="F105" s="794"/>
      <c r="G105" s="794"/>
      <c r="H105" s="794"/>
      <c r="I105" s="794"/>
      <c r="J105" s="794"/>
      <c r="K105" s="794"/>
    </row>
  </sheetData>
  <sheetProtection selectLockedCells="1" selectUnlockedCells="1"/>
  <pageMargins left="0.78740157480314965" right="0.78740157480314965" top="0.98425196850393704" bottom="0.98425196850393704" header="0.51181102362204722" footer="0.51181102362204722"/>
  <pageSetup paperSize="9" scale="83" firstPageNumber="0" orientation="portrait" horizontalDpi="300" verticalDpi="300" r:id="rId1"/>
  <headerFooter alignWithMargins="0">
    <oddHeader>&amp;LBundesanstalt für Landwirtschaft
und Ernährung Ref. 423&amp;CStruktur der Mühlenwirtschaft
WJ 2012/13</oddHeader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O82"/>
  <sheetViews>
    <sheetView showGridLines="0" zoomScaleNormal="100" workbookViewId="0">
      <selection sqref="A1:N29"/>
    </sheetView>
  </sheetViews>
  <sheetFormatPr baseColWidth="10" defaultColWidth="9.140625" defaultRowHeight="12.75"/>
  <cols>
    <col min="1" max="1" width="11.5703125" style="838" customWidth="1"/>
    <col min="2" max="2" width="10.42578125" style="838" customWidth="1"/>
    <col min="3" max="3" width="12.85546875" style="838" customWidth="1"/>
    <col min="4" max="4" width="10.42578125" style="838" customWidth="1"/>
    <col min="5" max="5" width="14.140625" style="838" customWidth="1"/>
    <col min="6" max="10" width="9.140625" style="838"/>
    <col min="11" max="11" width="10.5703125" style="838" bestFit="1" customWidth="1"/>
    <col min="12" max="14" width="10.42578125" style="838" customWidth="1"/>
    <col min="15" max="16384" width="9.140625" style="838"/>
  </cols>
  <sheetData>
    <row r="2" spans="1:15" ht="15" customHeight="1">
      <c r="A2" s="1291" t="s">
        <v>246</v>
      </c>
      <c r="B2" s="839"/>
      <c r="C2" s="839"/>
      <c r="D2" s="839"/>
      <c r="E2" s="839"/>
      <c r="F2" s="1288" t="s">
        <v>110</v>
      </c>
      <c r="G2" s="1288"/>
      <c r="H2" s="1288"/>
      <c r="I2" s="1288"/>
      <c r="J2" s="1288"/>
      <c r="K2" s="1288"/>
      <c r="L2" s="1288"/>
      <c r="M2" s="1288"/>
      <c r="N2" s="1288"/>
    </row>
    <row r="3" spans="1:15" ht="15" customHeight="1">
      <c r="A3" s="1291"/>
      <c r="B3" s="839"/>
      <c r="C3" s="839"/>
      <c r="D3" s="839"/>
      <c r="E3" s="839" t="s">
        <v>301</v>
      </c>
      <c r="F3" s="840" t="s">
        <v>302</v>
      </c>
      <c r="G3" s="840" t="s">
        <v>303</v>
      </c>
      <c r="H3" s="840" t="s">
        <v>304</v>
      </c>
      <c r="I3" s="840" t="s">
        <v>305</v>
      </c>
      <c r="J3" s="840" t="s">
        <v>306</v>
      </c>
      <c r="K3" s="840" t="s">
        <v>307</v>
      </c>
      <c r="L3" s="840" t="s">
        <v>308</v>
      </c>
      <c r="M3" s="840" t="s">
        <v>309</v>
      </c>
      <c r="N3" s="840" t="s">
        <v>24</v>
      </c>
    </row>
    <row r="4" spans="1:15" ht="15" customHeight="1">
      <c r="A4" s="1289" t="s">
        <v>247</v>
      </c>
      <c r="B4" s="1290" t="s">
        <v>310</v>
      </c>
      <c r="C4" s="1290"/>
      <c r="D4" s="1290"/>
      <c r="E4" s="1290"/>
      <c r="F4" s="1292">
        <v>41202</v>
      </c>
      <c r="G4" s="1292"/>
      <c r="H4" s="1292"/>
      <c r="I4" s="841">
        <v>48770</v>
      </c>
      <c r="J4" s="841"/>
      <c r="K4" s="1292">
        <v>1704127</v>
      </c>
      <c r="L4" s="1292"/>
      <c r="M4" s="1292"/>
      <c r="N4" s="841">
        <v>1794099</v>
      </c>
      <c r="O4" s="842"/>
    </row>
    <row r="5" spans="1:15" ht="15" customHeight="1">
      <c r="A5" s="1289"/>
      <c r="B5" s="1290" t="s">
        <v>311</v>
      </c>
      <c r="C5" s="1290" t="s">
        <v>9</v>
      </c>
      <c r="D5" s="1290" t="s">
        <v>312</v>
      </c>
      <c r="E5" s="843" t="s">
        <v>313</v>
      </c>
      <c r="F5" s="1292">
        <v>42022</v>
      </c>
      <c r="G5" s="1292"/>
      <c r="H5" s="1292"/>
      <c r="I5" s="841">
        <v>4321</v>
      </c>
      <c r="J5" s="841"/>
      <c r="K5" s="1292">
        <v>285979</v>
      </c>
      <c r="L5" s="1292"/>
      <c r="M5" s="1292"/>
      <c r="N5" s="841">
        <v>332322</v>
      </c>
      <c r="O5" s="842"/>
    </row>
    <row r="6" spans="1:15" ht="15" customHeight="1">
      <c r="A6" s="1289"/>
      <c r="B6" s="1290"/>
      <c r="C6" s="1290"/>
      <c r="D6" s="1290"/>
      <c r="E6" s="843" t="s">
        <v>314</v>
      </c>
      <c r="F6" s="1292">
        <v>21821</v>
      </c>
      <c r="G6" s="1292"/>
      <c r="H6" s="1292"/>
      <c r="I6" s="841">
        <v>7305</v>
      </c>
      <c r="J6" s="841"/>
      <c r="K6" s="1292">
        <v>947218</v>
      </c>
      <c r="L6" s="1292"/>
      <c r="M6" s="1292"/>
      <c r="N6" s="841">
        <v>976344</v>
      </c>
      <c r="O6" s="842"/>
    </row>
    <row r="7" spans="1:15" ht="15" customHeight="1">
      <c r="A7" s="1289"/>
      <c r="B7" s="1290"/>
      <c r="C7" s="1290"/>
      <c r="D7" s="1290" t="s">
        <v>315</v>
      </c>
      <c r="E7" s="843" t="s">
        <v>313</v>
      </c>
      <c r="F7" s="1292">
        <v>383</v>
      </c>
      <c r="G7" s="1292"/>
      <c r="H7" s="1292"/>
      <c r="I7" s="841">
        <v>0</v>
      </c>
      <c r="J7" s="841"/>
      <c r="K7" s="1292">
        <v>0</v>
      </c>
      <c r="L7" s="1292"/>
      <c r="M7" s="1292"/>
      <c r="N7" s="841">
        <v>383</v>
      </c>
      <c r="O7" s="842"/>
    </row>
    <row r="8" spans="1:15" ht="15" customHeight="1">
      <c r="A8" s="1289"/>
      <c r="B8" s="1290"/>
      <c r="C8" s="1290"/>
      <c r="D8" s="1290"/>
      <c r="E8" s="843" t="s">
        <v>314</v>
      </c>
      <c r="F8" s="1292">
        <v>1303</v>
      </c>
      <c r="G8" s="1292"/>
      <c r="H8" s="1292"/>
      <c r="I8" s="841">
        <v>0</v>
      </c>
      <c r="J8" s="841"/>
      <c r="K8" s="1292">
        <v>2464</v>
      </c>
      <c r="L8" s="1292"/>
      <c r="M8" s="1292"/>
      <c r="N8" s="841">
        <v>3767</v>
      </c>
      <c r="O8" s="842"/>
    </row>
    <row r="9" spans="1:15" ht="15" customHeight="1">
      <c r="A9" s="1289"/>
      <c r="B9" s="1290"/>
      <c r="C9" s="1290" t="s">
        <v>10</v>
      </c>
      <c r="D9" s="1290" t="s">
        <v>312</v>
      </c>
      <c r="E9" s="843" t="s">
        <v>313</v>
      </c>
      <c r="F9" s="1292">
        <v>7079</v>
      </c>
      <c r="G9" s="1292"/>
      <c r="H9" s="1292"/>
      <c r="I9" s="841">
        <v>8088</v>
      </c>
      <c r="J9" s="841"/>
      <c r="K9" s="1292">
        <v>553</v>
      </c>
      <c r="L9" s="1292"/>
      <c r="M9" s="1292"/>
      <c r="N9" s="841">
        <v>15720</v>
      </c>
      <c r="O9" s="842"/>
    </row>
    <row r="10" spans="1:15" ht="15" customHeight="1">
      <c r="A10" s="1289"/>
      <c r="B10" s="1290"/>
      <c r="C10" s="1290"/>
      <c r="D10" s="1290"/>
      <c r="E10" s="843" t="s">
        <v>314</v>
      </c>
      <c r="F10" s="1292">
        <v>8480</v>
      </c>
      <c r="G10" s="1292"/>
      <c r="H10" s="1292"/>
      <c r="I10" s="841">
        <v>18503</v>
      </c>
      <c r="J10" s="841"/>
      <c r="K10" s="1292">
        <v>122246</v>
      </c>
      <c r="L10" s="1292"/>
      <c r="M10" s="1292"/>
      <c r="N10" s="841">
        <v>149229</v>
      </c>
      <c r="O10" s="842"/>
    </row>
    <row r="11" spans="1:15" ht="15" customHeight="1">
      <c r="A11" s="1289"/>
      <c r="B11" s="1290"/>
      <c r="C11" s="1290"/>
      <c r="D11" s="1290" t="s">
        <v>315</v>
      </c>
      <c r="E11" s="843" t="s">
        <v>313</v>
      </c>
      <c r="F11" s="1292">
        <v>140</v>
      </c>
      <c r="G11" s="1292"/>
      <c r="H11" s="1292"/>
      <c r="I11" s="841">
        <v>0</v>
      </c>
      <c r="J11" s="841"/>
      <c r="K11" s="1292">
        <v>0</v>
      </c>
      <c r="L11" s="1292"/>
      <c r="M11" s="1292"/>
      <c r="N11" s="841">
        <v>140</v>
      </c>
      <c r="O11" s="842"/>
    </row>
    <row r="12" spans="1:15" ht="15" customHeight="1">
      <c r="A12" s="1289"/>
      <c r="B12" s="1290"/>
      <c r="C12" s="1290"/>
      <c r="D12" s="1290"/>
      <c r="E12" s="843" t="s">
        <v>314</v>
      </c>
      <c r="F12" s="1292">
        <v>850</v>
      </c>
      <c r="G12" s="1292"/>
      <c r="H12" s="1292"/>
      <c r="I12" s="841">
        <v>0</v>
      </c>
      <c r="J12" s="841"/>
      <c r="K12" s="1292">
        <v>0</v>
      </c>
      <c r="L12" s="1292"/>
      <c r="M12" s="1292"/>
      <c r="N12" s="841">
        <v>850</v>
      </c>
      <c r="O12" s="842"/>
    </row>
    <row r="13" spans="1:15" ht="15" customHeight="1">
      <c r="A13" s="1289"/>
      <c r="B13" s="1290" t="s">
        <v>316</v>
      </c>
      <c r="C13" s="1290" t="s">
        <v>9</v>
      </c>
      <c r="D13" s="1290" t="s">
        <v>317</v>
      </c>
      <c r="E13" s="1290"/>
      <c r="F13" s="1292">
        <v>4201</v>
      </c>
      <c r="G13" s="1292"/>
      <c r="H13" s="1292"/>
      <c r="I13" s="841">
        <v>6277</v>
      </c>
      <c r="J13" s="841"/>
      <c r="K13" s="1292">
        <v>299909</v>
      </c>
      <c r="L13" s="1292"/>
      <c r="M13" s="1292"/>
      <c r="N13" s="841">
        <v>310387</v>
      </c>
      <c r="O13" s="842"/>
    </row>
    <row r="14" spans="1:15" ht="15" customHeight="1">
      <c r="A14" s="1289"/>
      <c r="B14" s="1290"/>
      <c r="C14" s="1290"/>
      <c r="D14" s="1290" t="s">
        <v>318</v>
      </c>
      <c r="E14" s="1290"/>
      <c r="F14" s="1292">
        <v>0</v>
      </c>
      <c r="G14" s="1292"/>
      <c r="H14" s="1292"/>
      <c r="I14" s="841">
        <v>0</v>
      </c>
      <c r="J14" s="841"/>
      <c r="K14" s="1292">
        <v>0</v>
      </c>
      <c r="L14" s="1292"/>
      <c r="M14" s="1292"/>
      <c r="N14" s="841">
        <v>0</v>
      </c>
      <c r="O14" s="842"/>
    </row>
    <row r="15" spans="1:15" ht="15" customHeight="1">
      <c r="A15" s="1289"/>
      <c r="B15" s="1290"/>
      <c r="C15" s="1290" t="s">
        <v>10</v>
      </c>
      <c r="D15" s="1290" t="s">
        <v>317</v>
      </c>
      <c r="E15" s="1290"/>
      <c r="F15" s="1292">
        <v>1057</v>
      </c>
      <c r="G15" s="1292"/>
      <c r="H15" s="1292"/>
      <c r="I15" s="841">
        <v>5942</v>
      </c>
      <c r="J15" s="841"/>
      <c r="K15" s="1292">
        <v>23949</v>
      </c>
      <c r="L15" s="1292"/>
      <c r="M15" s="1292"/>
      <c r="N15" s="841">
        <v>30948</v>
      </c>
      <c r="O15" s="842"/>
    </row>
    <row r="16" spans="1:15" ht="15" customHeight="1">
      <c r="A16" s="1289"/>
      <c r="B16" s="1290"/>
      <c r="C16" s="1290"/>
      <c r="D16" s="1290" t="s">
        <v>318</v>
      </c>
      <c r="E16" s="1290"/>
      <c r="F16" s="1292">
        <v>0</v>
      </c>
      <c r="G16" s="1292"/>
      <c r="H16" s="1292"/>
      <c r="I16" s="841">
        <v>0</v>
      </c>
      <c r="J16" s="841"/>
      <c r="K16" s="1292">
        <v>0</v>
      </c>
      <c r="L16" s="1292"/>
      <c r="M16" s="1292"/>
      <c r="N16" s="841">
        <v>0</v>
      </c>
      <c r="O16" s="842"/>
    </row>
    <row r="17" spans="1:15" ht="15" customHeight="1">
      <c r="A17" s="1289" t="s">
        <v>248</v>
      </c>
      <c r="B17" s="1290" t="s">
        <v>310</v>
      </c>
      <c r="C17" s="1290"/>
      <c r="D17" s="1290"/>
      <c r="E17" s="1290"/>
      <c r="F17" s="1293">
        <v>36093</v>
      </c>
      <c r="G17" s="1293"/>
      <c r="H17" s="841">
        <v>59088</v>
      </c>
      <c r="I17" s="841">
        <v>91161</v>
      </c>
      <c r="J17" s="841">
        <v>162397</v>
      </c>
      <c r="K17" s="841">
        <v>497236</v>
      </c>
      <c r="L17" s="841">
        <v>399899</v>
      </c>
      <c r="M17" s="841">
        <v>1309946</v>
      </c>
      <c r="N17" s="841">
        <v>2555820</v>
      </c>
      <c r="O17" s="842"/>
    </row>
    <row r="18" spans="1:15" ht="15" customHeight="1">
      <c r="A18" s="1289"/>
      <c r="B18" s="1290" t="s">
        <v>311</v>
      </c>
      <c r="C18" s="1290" t="s">
        <v>9</v>
      </c>
      <c r="D18" s="1290" t="s">
        <v>312</v>
      </c>
      <c r="E18" s="843" t="s">
        <v>313</v>
      </c>
      <c r="F18" s="1293">
        <v>15291</v>
      </c>
      <c r="G18" s="1293"/>
      <c r="H18" s="841">
        <v>22945</v>
      </c>
      <c r="I18" s="841">
        <v>49559</v>
      </c>
      <c r="J18" s="841">
        <v>15076</v>
      </c>
      <c r="K18" s="841">
        <v>177838</v>
      </c>
      <c r="L18" s="841">
        <v>130274</v>
      </c>
      <c r="M18" s="841">
        <v>0</v>
      </c>
      <c r="N18" s="841">
        <v>410983</v>
      </c>
      <c r="O18" s="842"/>
    </row>
    <row r="19" spans="1:15" ht="15" customHeight="1">
      <c r="A19" s="1289"/>
      <c r="B19" s="1290"/>
      <c r="C19" s="1290"/>
      <c r="D19" s="1290"/>
      <c r="E19" s="843" t="s">
        <v>314</v>
      </c>
      <c r="F19" s="1293">
        <v>2438</v>
      </c>
      <c r="G19" s="1293"/>
      <c r="H19" s="841">
        <v>17111</v>
      </c>
      <c r="I19" s="841">
        <v>17543</v>
      </c>
      <c r="J19" s="841">
        <v>70094</v>
      </c>
      <c r="K19" s="841">
        <v>146154</v>
      </c>
      <c r="L19" s="841">
        <v>250973</v>
      </c>
      <c r="M19" s="841">
        <v>1153405</v>
      </c>
      <c r="N19" s="841">
        <v>1657718</v>
      </c>
      <c r="O19" s="842"/>
    </row>
    <row r="20" spans="1:15" ht="15" customHeight="1">
      <c r="A20" s="1289"/>
      <c r="B20" s="1290"/>
      <c r="C20" s="1290"/>
      <c r="D20" s="1290" t="s">
        <v>315</v>
      </c>
      <c r="E20" s="843" t="s">
        <v>313</v>
      </c>
      <c r="F20" s="1293">
        <v>0</v>
      </c>
      <c r="G20" s="1293"/>
      <c r="H20" s="841">
        <v>0</v>
      </c>
      <c r="I20" s="841">
        <v>0</v>
      </c>
      <c r="J20" s="841">
        <v>0</v>
      </c>
      <c r="K20" s="841">
        <v>0</v>
      </c>
      <c r="L20" s="841">
        <v>484</v>
      </c>
      <c r="M20" s="841">
        <v>0</v>
      </c>
      <c r="N20" s="841">
        <v>484</v>
      </c>
      <c r="O20" s="842"/>
    </row>
    <row r="21" spans="1:15" ht="15" customHeight="1">
      <c r="A21" s="1289"/>
      <c r="B21" s="1290"/>
      <c r="C21" s="1290"/>
      <c r="D21" s="1290"/>
      <c r="E21" s="843" t="s">
        <v>314</v>
      </c>
      <c r="F21" s="1293">
        <v>0</v>
      </c>
      <c r="G21" s="1293"/>
      <c r="H21" s="841">
        <v>0</v>
      </c>
      <c r="I21" s="841">
        <v>0</v>
      </c>
      <c r="J21" s="841">
        <v>18904</v>
      </c>
      <c r="K21" s="841">
        <v>0</v>
      </c>
      <c r="L21" s="841">
        <v>0</v>
      </c>
      <c r="M21" s="841">
        <v>101779</v>
      </c>
      <c r="N21" s="841">
        <v>120683</v>
      </c>
      <c r="O21" s="842"/>
    </row>
    <row r="22" spans="1:15" ht="15" customHeight="1">
      <c r="A22" s="1289"/>
      <c r="B22" s="1290"/>
      <c r="C22" s="1290" t="s">
        <v>10</v>
      </c>
      <c r="D22" s="1290" t="s">
        <v>312</v>
      </c>
      <c r="E22" s="843" t="s">
        <v>313</v>
      </c>
      <c r="F22" s="1293">
        <v>15043</v>
      </c>
      <c r="G22" s="1293"/>
      <c r="H22" s="841">
        <v>10729</v>
      </c>
      <c r="I22" s="841">
        <v>5778</v>
      </c>
      <c r="J22" s="841">
        <v>7560</v>
      </c>
      <c r="K22" s="841">
        <v>90629</v>
      </c>
      <c r="L22" s="841">
        <v>6283</v>
      </c>
      <c r="M22" s="841">
        <v>0</v>
      </c>
      <c r="N22" s="841">
        <v>136022</v>
      </c>
      <c r="O22" s="842"/>
    </row>
    <row r="23" spans="1:15" ht="15" customHeight="1">
      <c r="A23" s="1289"/>
      <c r="B23" s="1290"/>
      <c r="C23" s="1290"/>
      <c r="D23" s="1290"/>
      <c r="E23" s="843" t="s">
        <v>314</v>
      </c>
      <c r="F23" s="1293">
        <v>5888</v>
      </c>
      <c r="G23" s="1293"/>
      <c r="H23" s="841">
        <v>17867</v>
      </c>
      <c r="I23" s="841">
        <v>4478</v>
      </c>
      <c r="J23" s="841">
        <v>7893</v>
      </c>
      <c r="K23" s="841">
        <v>0</v>
      </c>
      <c r="L23" s="841">
        <v>11318</v>
      </c>
      <c r="M23" s="841">
        <v>52882</v>
      </c>
      <c r="N23" s="841">
        <v>100326</v>
      </c>
      <c r="O23" s="842"/>
    </row>
    <row r="24" spans="1:15" ht="15" customHeight="1">
      <c r="A24" s="1289"/>
      <c r="B24" s="1290"/>
      <c r="C24" s="1290"/>
      <c r="D24" s="1290" t="s">
        <v>315</v>
      </c>
      <c r="E24" s="843" t="s">
        <v>313</v>
      </c>
      <c r="F24" s="1293">
        <v>0</v>
      </c>
      <c r="G24" s="1293"/>
      <c r="H24" s="841">
        <v>0</v>
      </c>
      <c r="I24" s="841">
        <v>0</v>
      </c>
      <c r="J24" s="841">
        <v>0</v>
      </c>
      <c r="K24" s="841">
        <v>0</v>
      </c>
      <c r="L24" s="841">
        <v>0</v>
      </c>
      <c r="M24" s="841">
        <v>0</v>
      </c>
      <c r="N24" s="841">
        <v>0</v>
      </c>
      <c r="O24" s="842"/>
    </row>
    <row r="25" spans="1:15" ht="15" customHeight="1">
      <c r="A25" s="1289"/>
      <c r="B25" s="1290"/>
      <c r="C25" s="1290"/>
      <c r="D25" s="1290"/>
      <c r="E25" s="843" t="s">
        <v>314</v>
      </c>
      <c r="F25" s="1293">
        <v>0</v>
      </c>
      <c r="G25" s="1293"/>
      <c r="H25" s="841">
        <v>0</v>
      </c>
      <c r="I25" s="841">
        <v>0</v>
      </c>
      <c r="J25" s="841">
        <v>1557</v>
      </c>
      <c r="K25" s="841">
        <v>0</v>
      </c>
      <c r="L25" s="841">
        <v>0</v>
      </c>
      <c r="M25" s="841">
        <v>0</v>
      </c>
      <c r="N25" s="841">
        <v>1557</v>
      </c>
      <c r="O25" s="842"/>
    </row>
    <row r="26" spans="1:15" ht="15" customHeight="1">
      <c r="A26" s="1289"/>
      <c r="B26" s="1290" t="s">
        <v>316</v>
      </c>
      <c r="C26" s="1290" t="s">
        <v>9</v>
      </c>
      <c r="D26" s="1290" t="s">
        <v>317</v>
      </c>
      <c r="E26" s="1290"/>
      <c r="F26" s="1293">
        <v>0</v>
      </c>
      <c r="G26" s="1293"/>
      <c r="H26" s="841">
        <v>0</v>
      </c>
      <c r="I26" s="841">
        <v>13141</v>
      </c>
      <c r="J26" s="841">
        <v>31990</v>
      </c>
      <c r="K26" s="841">
        <v>75180</v>
      </c>
      <c r="L26" s="841">
        <v>0</v>
      </c>
      <c r="M26" s="841">
        <v>408</v>
      </c>
      <c r="N26" s="841">
        <v>120719</v>
      </c>
      <c r="O26" s="842"/>
    </row>
    <row r="27" spans="1:15" ht="15" customHeight="1">
      <c r="A27" s="1289"/>
      <c r="B27" s="1290"/>
      <c r="C27" s="1290"/>
      <c r="D27" s="1290" t="s">
        <v>318</v>
      </c>
      <c r="E27" s="1290"/>
      <c r="F27" s="1293">
        <v>0</v>
      </c>
      <c r="G27" s="1293"/>
      <c r="H27" s="841">
        <v>0</v>
      </c>
      <c r="I27" s="841">
        <v>0</v>
      </c>
      <c r="J27" s="841">
        <v>0</v>
      </c>
      <c r="K27" s="841">
        <v>0</v>
      </c>
      <c r="L27" s="841">
        <v>0</v>
      </c>
      <c r="M27" s="841">
        <v>215</v>
      </c>
      <c r="N27" s="841">
        <v>215</v>
      </c>
      <c r="O27" s="842"/>
    </row>
    <row r="28" spans="1:15" ht="15" customHeight="1">
      <c r="A28" s="1289"/>
      <c r="B28" s="1290"/>
      <c r="C28" s="1290" t="s">
        <v>10</v>
      </c>
      <c r="D28" s="1290" t="s">
        <v>317</v>
      </c>
      <c r="E28" s="1290"/>
      <c r="F28" s="1293">
        <v>1640</v>
      </c>
      <c r="G28" s="1293"/>
      <c r="H28" s="841">
        <v>5643</v>
      </c>
      <c r="I28" s="841">
        <v>2147</v>
      </c>
      <c r="J28" s="841">
        <v>8356</v>
      </c>
      <c r="K28" s="841">
        <v>0</v>
      </c>
      <c r="L28" s="841">
        <v>0</v>
      </c>
      <c r="M28" s="841">
        <v>7</v>
      </c>
      <c r="N28" s="841">
        <v>17793</v>
      </c>
      <c r="O28" s="842"/>
    </row>
    <row r="29" spans="1:15" ht="15" customHeight="1">
      <c r="A29" s="1289"/>
      <c r="B29" s="1290"/>
      <c r="C29" s="1290"/>
      <c r="D29" s="1290" t="s">
        <v>318</v>
      </c>
      <c r="E29" s="1290"/>
      <c r="F29" s="1293">
        <v>0</v>
      </c>
      <c r="G29" s="1293"/>
      <c r="H29" s="841">
        <v>0</v>
      </c>
      <c r="I29" s="841">
        <v>0</v>
      </c>
      <c r="J29" s="841">
        <v>0</v>
      </c>
      <c r="K29" s="841">
        <v>0</v>
      </c>
      <c r="L29" s="841">
        <v>0</v>
      </c>
      <c r="M29" s="841">
        <v>0</v>
      </c>
      <c r="N29" s="841">
        <v>0</v>
      </c>
      <c r="O29" s="842"/>
    </row>
    <row r="30" spans="1:15" s="849" customFormat="1" ht="15" customHeight="1">
      <c r="A30" s="844"/>
      <c r="B30" s="845"/>
      <c r="C30" s="845"/>
      <c r="D30" s="845"/>
      <c r="E30" s="845"/>
      <c r="F30" s="846"/>
      <c r="G30" s="846"/>
      <c r="H30" s="847"/>
      <c r="I30" s="847"/>
      <c r="J30" s="847"/>
      <c r="K30" s="847"/>
      <c r="L30" s="847"/>
      <c r="M30" s="847"/>
      <c r="N30" s="847"/>
      <c r="O30" s="848"/>
    </row>
    <row r="31" spans="1:15" s="849" customFormat="1" ht="15" customHeight="1">
      <c r="A31" s="850" t="s">
        <v>319</v>
      </c>
      <c r="B31" s="851"/>
      <c r="C31" s="851"/>
      <c r="D31" s="851"/>
      <c r="E31" s="851"/>
      <c r="F31" s="852"/>
      <c r="G31" s="852"/>
      <c r="H31" s="853"/>
      <c r="I31" s="853"/>
      <c r="J31" s="853"/>
      <c r="K31" s="853"/>
      <c r="L31" s="853"/>
      <c r="M31" s="853"/>
      <c r="N31" s="853"/>
      <c r="O31" s="848"/>
    </row>
    <row r="32" spans="1:15" s="849" customFormat="1" ht="15" customHeight="1">
      <c r="A32" s="854"/>
      <c r="B32" s="855"/>
      <c r="C32" s="855"/>
      <c r="D32" s="855"/>
      <c r="E32" s="855"/>
      <c r="F32" s="856"/>
      <c r="G32" s="856"/>
      <c r="H32" s="857"/>
      <c r="I32" s="857"/>
      <c r="J32" s="857"/>
      <c r="K32" s="857"/>
      <c r="L32" s="857"/>
      <c r="M32" s="857"/>
      <c r="N32" s="857"/>
      <c r="O32" s="848"/>
    </row>
    <row r="33" spans="1:15" ht="15" customHeight="1">
      <c r="A33" s="1291" t="s">
        <v>246</v>
      </c>
      <c r="B33" s="839"/>
      <c r="C33" s="839"/>
      <c r="D33" s="839"/>
      <c r="E33" s="839"/>
      <c r="F33" s="1288" t="s">
        <v>110</v>
      </c>
      <c r="G33" s="1288"/>
      <c r="H33" s="1288"/>
      <c r="I33" s="1288"/>
      <c r="J33" s="1288"/>
      <c r="K33" s="1288"/>
      <c r="L33" s="1288"/>
      <c r="M33" s="1288"/>
      <c r="N33" s="1288"/>
    </row>
    <row r="34" spans="1:15" ht="15" customHeight="1">
      <c r="A34" s="1291"/>
      <c r="B34" s="839"/>
      <c r="C34" s="839"/>
      <c r="D34" s="839"/>
      <c r="E34" s="839" t="s">
        <v>301</v>
      </c>
      <c r="F34" s="840" t="s">
        <v>302</v>
      </c>
      <c r="G34" s="840" t="s">
        <v>303</v>
      </c>
      <c r="H34" s="840" t="s">
        <v>304</v>
      </c>
      <c r="I34" s="840" t="s">
        <v>305</v>
      </c>
      <c r="J34" s="840" t="s">
        <v>306</v>
      </c>
      <c r="K34" s="840" t="s">
        <v>307</v>
      </c>
      <c r="L34" s="840" t="s">
        <v>308</v>
      </c>
      <c r="M34" s="840" t="s">
        <v>309</v>
      </c>
      <c r="N34" s="840" t="s">
        <v>24</v>
      </c>
    </row>
    <row r="35" spans="1:15" ht="15" customHeight="1">
      <c r="A35" s="1289" t="s">
        <v>249</v>
      </c>
      <c r="B35" s="1290" t="s">
        <v>310</v>
      </c>
      <c r="C35" s="1290"/>
      <c r="D35" s="1290"/>
      <c r="E35" s="1290"/>
      <c r="F35" s="1293">
        <v>131895</v>
      </c>
      <c r="G35" s="1293"/>
      <c r="H35" s="841">
        <v>94532</v>
      </c>
      <c r="I35" s="841">
        <v>167923</v>
      </c>
      <c r="J35" s="841">
        <v>307523</v>
      </c>
      <c r="K35" s="841">
        <v>404702</v>
      </c>
      <c r="L35" s="841">
        <v>377134</v>
      </c>
      <c r="M35" s="841">
        <v>628626</v>
      </c>
      <c r="N35" s="841">
        <v>2112335</v>
      </c>
      <c r="O35" s="842"/>
    </row>
    <row r="36" spans="1:15" ht="15" customHeight="1">
      <c r="A36" s="1289"/>
      <c r="B36" s="1290" t="s">
        <v>311</v>
      </c>
      <c r="C36" s="1290" t="s">
        <v>9</v>
      </c>
      <c r="D36" s="1290" t="s">
        <v>312</v>
      </c>
      <c r="E36" s="843" t="s">
        <v>313</v>
      </c>
      <c r="F36" s="1293">
        <v>149000</v>
      </c>
      <c r="G36" s="1293"/>
      <c r="H36" s="841">
        <v>37721</v>
      </c>
      <c r="I36" s="841">
        <v>68454</v>
      </c>
      <c r="J36" s="841">
        <v>68465</v>
      </c>
      <c r="K36" s="841">
        <v>137518</v>
      </c>
      <c r="L36" s="841">
        <v>43371</v>
      </c>
      <c r="M36" s="841">
        <v>126129</v>
      </c>
      <c r="N36" s="841">
        <v>630658</v>
      </c>
      <c r="O36" s="842"/>
    </row>
    <row r="37" spans="1:15" ht="15" customHeight="1">
      <c r="A37" s="1289"/>
      <c r="B37" s="1290"/>
      <c r="C37" s="1290"/>
      <c r="D37" s="1290"/>
      <c r="E37" s="843" t="s">
        <v>314</v>
      </c>
      <c r="F37" s="1293">
        <v>43061</v>
      </c>
      <c r="G37" s="1293"/>
      <c r="H37" s="841">
        <v>38284</v>
      </c>
      <c r="I37" s="841">
        <v>83014</v>
      </c>
      <c r="J37" s="841">
        <v>141873</v>
      </c>
      <c r="K37" s="841">
        <v>243627</v>
      </c>
      <c r="L37" s="841">
        <v>303084</v>
      </c>
      <c r="M37" s="841">
        <v>406185</v>
      </c>
      <c r="N37" s="841">
        <v>1259128</v>
      </c>
      <c r="O37" s="842"/>
    </row>
    <row r="38" spans="1:15" ht="15" customHeight="1">
      <c r="A38" s="1289"/>
      <c r="B38" s="1290"/>
      <c r="C38" s="1290"/>
      <c r="D38" s="1290" t="s">
        <v>315</v>
      </c>
      <c r="E38" s="843" t="s">
        <v>313</v>
      </c>
      <c r="F38" s="1293">
        <v>0</v>
      </c>
      <c r="G38" s="1293"/>
      <c r="H38" s="841">
        <v>0</v>
      </c>
      <c r="I38" s="841">
        <v>0</v>
      </c>
      <c r="J38" s="841">
        <v>2939</v>
      </c>
      <c r="K38" s="841">
        <v>0</v>
      </c>
      <c r="L38" s="841">
        <v>0</v>
      </c>
      <c r="M38" s="841">
        <v>0</v>
      </c>
      <c r="N38" s="841">
        <v>2939</v>
      </c>
      <c r="O38" s="842"/>
    </row>
    <row r="39" spans="1:15" ht="15" customHeight="1">
      <c r="A39" s="1289"/>
      <c r="B39" s="1290"/>
      <c r="C39" s="1290"/>
      <c r="D39" s="1290"/>
      <c r="E39" s="843" t="s">
        <v>314</v>
      </c>
      <c r="F39" s="1293">
        <v>1737</v>
      </c>
      <c r="G39" s="1293"/>
      <c r="H39" s="841">
        <v>3306</v>
      </c>
      <c r="I39" s="841">
        <v>2233</v>
      </c>
      <c r="J39" s="841">
        <v>5811</v>
      </c>
      <c r="K39" s="841">
        <v>2191</v>
      </c>
      <c r="L39" s="841">
        <v>2373</v>
      </c>
      <c r="M39" s="841">
        <v>17909</v>
      </c>
      <c r="N39" s="841">
        <v>35560</v>
      </c>
      <c r="O39" s="842"/>
    </row>
    <row r="40" spans="1:15" ht="15" customHeight="1">
      <c r="A40" s="1289"/>
      <c r="B40" s="1290"/>
      <c r="C40" s="1290" t="s">
        <v>10</v>
      </c>
      <c r="D40" s="1290" t="s">
        <v>312</v>
      </c>
      <c r="E40" s="843" t="s">
        <v>313</v>
      </c>
      <c r="F40" s="1293">
        <v>17418</v>
      </c>
      <c r="G40" s="1293"/>
      <c r="H40" s="841">
        <v>8709</v>
      </c>
      <c r="I40" s="841">
        <v>11825</v>
      </c>
      <c r="J40" s="841">
        <v>17267</v>
      </c>
      <c r="K40" s="841">
        <v>16773</v>
      </c>
      <c r="L40" s="841">
        <v>2294</v>
      </c>
      <c r="M40" s="841">
        <v>21127</v>
      </c>
      <c r="N40" s="841">
        <v>95413</v>
      </c>
      <c r="O40" s="842"/>
    </row>
    <row r="41" spans="1:15" ht="15" customHeight="1">
      <c r="A41" s="1289"/>
      <c r="B41" s="1290"/>
      <c r="C41" s="1290"/>
      <c r="D41" s="1290"/>
      <c r="E41" s="843" t="s">
        <v>314</v>
      </c>
      <c r="F41" s="1293">
        <v>7514</v>
      </c>
      <c r="G41" s="1293"/>
      <c r="H41" s="841">
        <v>7138</v>
      </c>
      <c r="I41" s="841">
        <v>20597</v>
      </c>
      <c r="J41" s="841">
        <v>25150</v>
      </c>
      <c r="K41" s="841">
        <v>19205</v>
      </c>
      <c r="L41" s="841">
        <v>25820</v>
      </c>
      <c r="M41" s="841">
        <v>25008</v>
      </c>
      <c r="N41" s="841">
        <v>130432</v>
      </c>
      <c r="O41" s="842"/>
    </row>
    <row r="42" spans="1:15" ht="15" customHeight="1">
      <c r="A42" s="1289"/>
      <c r="B42" s="1290"/>
      <c r="C42" s="1290"/>
      <c r="D42" s="1290" t="s">
        <v>315</v>
      </c>
      <c r="E42" s="843" t="s">
        <v>313</v>
      </c>
      <c r="F42" s="1293">
        <v>0</v>
      </c>
      <c r="G42" s="1293"/>
      <c r="H42" s="841">
        <v>0</v>
      </c>
      <c r="I42" s="841">
        <v>0</v>
      </c>
      <c r="J42" s="841">
        <v>46</v>
      </c>
      <c r="K42" s="841">
        <v>0</v>
      </c>
      <c r="L42" s="841">
        <v>0</v>
      </c>
      <c r="M42" s="841">
        <v>0</v>
      </c>
      <c r="N42" s="841">
        <v>46</v>
      </c>
      <c r="O42" s="842"/>
    </row>
    <row r="43" spans="1:15" ht="15" customHeight="1">
      <c r="A43" s="1289"/>
      <c r="B43" s="1290"/>
      <c r="C43" s="1290"/>
      <c r="D43" s="1290"/>
      <c r="E43" s="843" t="s">
        <v>314</v>
      </c>
      <c r="F43" s="1293">
        <v>0</v>
      </c>
      <c r="G43" s="1293"/>
      <c r="H43" s="841">
        <v>387</v>
      </c>
      <c r="I43" s="841">
        <v>302</v>
      </c>
      <c r="J43" s="841">
        <v>456</v>
      </c>
      <c r="K43" s="841">
        <v>78</v>
      </c>
      <c r="L43" s="841">
        <v>0</v>
      </c>
      <c r="M43" s="841">
        <v>1297</v>
      </c>
      <c r="N43" s="841">
        <v>2520</v>
      </c>
      <c r="O43" s="842"/>
    </row>
    <row r="44" spans="1:15" ht="15" customHeight="1">
      <c r="A44" s="1289"/>
      <c r="B44" s="1290" t="s">
        <v>316</v>
      </c>
      <c r="C44" s="1290" t="s">
        <v>9</v>
      </c>
      <c r="D44" s="1290" t="s">
        <v>317</v>
      </c>
      <c r="E44" s="1290"/>
      <c r="F44" s="1293">
        <v>2909</v>
      </c>
      <c r="G44" s="1293"/>
      <c r="H44" s="841">
        <v>5739</v>
      </c>
      <c r="I44" s="841">
        <v>0</v>
      </c>
      <c r="J44" s="841">
        <v>59594</v>
      </c>
      <c r="K44" s="841">
        <v>0</v>
      </c>
      <c r="L44" s="841">
        <v>0</v>
      </c>
      <c r="M44" s="841">
        <v>23840</v>
      </c>
      <c r="N44" s="841">
        <v>92082</v>
      </c>
      <c r="O44" s="842"/>
    </row>
    <row r="45" spans="1:15" ht="15" customHeight="1">
      <c r="A45" s="1289"/>
      <c r="B45" s="1290"/>
      <c r="C45" s="1290"/>
      <c r="D45" s="1290" t="s">
        <v>318</v>
      </c>
      <c r="E45" s="1290"/>
      <c r="F45" s="1293">
        <v>65</v>
      </c>
      <c r="G45" s="1293"/>
      <c r="H45" s="841">
        <v>15</v>
      </c>
      <c r="I45" s="841">
        <v>0</v>
      </c>
      <c r="J45" s="841">
        <v>0</v>
      </c>
      <c r="K45" s="841">
        <v>0</v>
      </c>
      <c r="L45" s="841">
        <v>0</v>
      </c>
      <c r="M45" s="841">
        <v>0</v>
      </c>
      <c r="N45" s="841">
        <v>80</v>
      </c>
      <c r="O45" s="842"/>
    </row>
    <row r="46" spans="1:15" ht="15" customHeight="1">
      <c r="A46" s="1289"/>
      <c r="B46" s="1290"/>
      <c r="C46" s="1290" t="s">
        <v>10</v>
      </c>
      <c r="D46" s="1290" t="s">
        <v>317</v>
      </c>
      <c r="E46" s="1290"/>
      <c r="F46" s="1293">
        <v>3933</v>
      </c>
      <c r="G46" s="1293"/>
      <c r="H46" s="841">
        <v>293</v>
      </c>
      <c r="I46" s="841">
        <v>0</v>
      </c>
      <c r="J46" s="841">
        <v>2514</v>
      </c>
      <c r="K46" s="841">
        <v>0</v>
      </c>
      <c r="L46" s="841">
        <v>0</v>
      </c>
      <c r="M46" s="841">
        <v>209</v>
      </c>
      <c r="N46" s="841">
        <v>6949</v>
      </c>
      <c r="O46" s="842"/>
    </row>
    <row r="47" spans="1:15" ht="15" customHeight="1">
      <c r="A47" s="1289"/>
      <c r="B47" s="1290"/>
      <c r="C47" s="1290"/>
      <c r="D47" s="1290" t="s">
        <v>318</v>
      </c>
      <c r="E47" s="1290"/>
      <c r="F47" s="1293">
        <v>0</v>
      </c>
      <c r="G47" s="1293"/>
      <c r="H47" s="841">
        <v>0</v>
      </c>
      <c r="I47" s="841">
        <v>0</v>
      </c>
      <c r="J47" s="841">
        <v>0</v>
      </c>
      <c r="K47" s="841">
        <v>0</v>
      </c>
      <c r="L47" s="841">
        <v>0</v>
      </c>
      <c r="M47" s="841">
        <v>0</v>
      </c>
      <c r="N47" s="841">
        <v>0</v>
      </c>
      <c r="O47" s="842"/>
    </row>
    <row r="48" spans="1:15" ht="15" customHeight="1">
      <c r="A48" s="1289" t="s">
        <v>250</v>
      </c>
      <c r="B48" s="1290" t="s">
        <v>310</v>
      </c>
      <c r="C48" s="1290"/>
      <c r="D48" s="1290"/>
      <c r="E48" s="1290"/>
      <c r="F48" s="1292">
        <v>33731</v>
      </c>
      <c r="G48" s="1292"/>
      <c r="H48" s="1292"/>
      <c r="I48" s="841">
        <v>47978</v>
      </c>
      <c r="J48" s="841">
        <v>111465</v>
      </c>
      <c r="K48" s="1292">
        <v>1377047</v>
      </c>
      <c r="L48" s="1292"/>
      <c r="M48" s="1292"/>
      <c r="N48" s="841">
        <v>1570221</v>
      </c>
      <c r="O48" s="842"/>
    </row>
    <row r="49" spans="1:15" ht="15" customHeight="1">
      <c r="A49" s="1289"/>
      <c r="B49" s="1290" t="s">
        <v>311</v>
      </c>
      <c r="C49" s="1290" t="s">
        <v>9</v>
      </c>
      <c r="D49" s="1290" t="s">
        <v>312</v>
      </c>
      <c r="E49" s="843" t="s">
        <v>313</v>
      </c>
      <c r="F49" s="1292">
        <v>13352</v>
      </c>
      <c r="G49" s="1292"/>
      <c r="H49" s="1292"/>
      <c r="I49" s="841">
        <v>22530</v>
      </c>
      <c r="J49" s="841">
        <v>25376</v>
      </c>
      <c r="K49" s="1292">
        <v>1172720</v>
      </c>
      <c r="L49" s="1292"/>
      <c r="M49" s="1292"/>
      <c r="N49" s="841">
        <v>1233978</v>
      </c>
      <c r="O49" s="842"/>
    </row>
    <row r="50" spans="1:15" ht="15" customHeight="1">
      <c r="A50" s="1289"/>
      <c r="B50" s="1290"/>
      <c r="C50" s="1290"/>
      <c r="D50" s="1290"/>
      <c r="E50" s="843" t="s">
        <v>314</v>
      </c>
      <c r="F50" s="1292">
        <v>4603</v>
      </c>
      <c r="G50" s="1292"/>
      <c r="H50" s="1292"/>
      <c r="I50" s="841">
        <v>1499</v>
      </c>
      <c r="J50" s="841">
        <v>111717</v>
      </c>
      <c r="K50" s="1292">
        <v>310773</v>
      </c>
      <c r="L50" s="1292"/>
      <c r="M50" s="1292"/>
      <c r="N50" s="841">
        <v>428592</v>
      </c>
      <c r="O50" s="842"/>
    </row>
    <row r="51" spans="1:15" ht="15" customHeight="1">
      <c r="A51" s="1289"/>
      <c r="B51" s="1290"/>
      <c r="C51" s="1290"/>
      <c r="D51" s="1290" t="s">
        <v>315</v>
      </c>
      <c r="E51" s="843" t="s">
        <v>313</v>
      </c>
      <c r="F51" s="1292">
        <v>0</v>
      </c>
      <c r="G51" s="1292"/>
      <c r="H51" s="1292"/>
      <c r="I51" s="841">
        <v>0</v>
      </c>
      <c r="J51" s="841">
        <v>0</v>
      </c>
      <c r="K51" s="1292">
        <v>0</v>
      </c>
      <c r="L51" s="1292"/>
      <c r="M51" s="1292"/>
      <c r="N51" s="841">
        <v>0</v>
      </c>
      <c r="O51" s="842"/>
    </row>
    <row r="52" spans="1:15" ht="15" customHeight="1">
      <c r="A52" s="1289"/>
      <c r="B52" s="1290"/>
      <c r="C52" s="1290"/>
      <c r="D52" s="1290"/>
      <c r="E52" s="843" t="s">
        <v>314</v>
      </c>
      <c r="F52" s="1292">
        <v>44</v>
      </c>
      <c r="G52" s="1292"/>
      <c r="H52" s="1292"/>
      <c r="I52" s="841">
        <v>2668</v>
      </c>
      <c r="J52" s="841">
        <v>0</v>
      </c>
      <c r="K52" s="1292">
        <v>3438</v>
      </c>
      <c r="L52" s="1292"/>
      <c r="M52" s="1292"/>
      <c r="N52" s="841">
        <v>6150</v>
      </c>
      <c r="O52" s="842"/>
    </row>
    <row r="53" spans="1:15" ht="15" customHeight="1">
      <c r="A53" s="1289"/>
      <c r="B53" s="1290"/>
      <c r="C53" s="1290" t="s">
        <v>10</v>
      </c>
      <c r="D53" s="1290" t="s">
        <v>312</v>
      </c>
      <c r="E53" s="843" t="s">
        <v>313</v>
      </c>
      <c r="F53" s="1292">
        <v>12973</v>
      </c>
      <c r="G53" s="1292"/>
      <c r="H53" s="1292"/>
      <c r="I53" s="841">
        <v>6342</v>
      </c>
      <c r="J53" s="841">
        <v>7276</v>
      </c>
      <c r="K53" s="1292">
        <v>92958</v>
      </c>
      <c r="L53" s="1292"/>
      <c r="M53" s="1292"/>
      <c r="N53" s="841">
        <v>119549</v>
      </c>
      <c r="O53" s="842"/>
    </row>
    <row r="54" spans="1:15" ht="15" customHeight="1">
      <c r="A54" s="1289"/>
      <c r="B54" s="1290"/>
      <c r="C54" s="1290"/>
      <c r="D54" s="1290"/>
      <c r="E54" s="843" t="s">
        <v>314</v>
      </c>
      <c r="F54" s="1292">
        <v>1962</v>
      </c>
      <c r="G54" s="1292"/>
      <c r="H54" s="1292"/>
      <c r="I54" s="841">
        <v>225</v>
      </c>
      <c r="J54" s="841">
        <v>2549</v>
      </c>
      <c r="K54" s="1292">
        <v>47878</v>
      </c>
      <c r="L54" s="1292"/>
      <c r="M54" s="1292"/>
      <c r="N54" s="841">
        <v>52614</v>
      </c>
      <c r="O54" s="842"/>
    </row>
    <row r="55" spans="1:15" ht="15" customHeight="1">
      <c r="A55" s="1289"/>
      <c r="B55" s="1290"/>
      <c r="C55" s="1290"/>
      <c r="D55" s="1290" t="s">
        <v>315</v>
      </c>
      <c r="E55" s="843" t="s">
        <v>313</v>
      </c>
      <c r="F55" s="1292">
        <v>0</v>
      </c>
      <c r="G55" s="1292"/>
      <c r="H55" s="1292"/>
      <c r="I55" s="841">
        <v>0</v>
      </c>
      <c r="J55" s="841">
        <v>0</v>
      </c>
      <c r="K55" s="1292">
        <v>0</v>
      </c>
      <c r="L55" s="1292"/>
      <c r="M55" s="1292"/>
      <c r="N55" s="841">
        <v>0</v>
      </c>
      <c r="O55" s="842"/>
    </row>
    <row r="56" spans="1:15" ht="15" customHeight="1">
      <c r="A56" s="1289"/>
      <c r="B56" s="1290"/>
      <c r="C56" s="1290"/>
      <c r="D56" s="1290"/>
      <c r="E56" s="843" t="s">
        <v>314</v>
      </c>
      <c r="F56" s="1292">
        <v>0</v>
      </c>
      <c r="G56" s="1292"/>
      <c r="H56" s="1292"/>
      <c r="I56" s="841">
        <v>0</v>
      </c>
      <c r="J56" s="841">
        <v>0</v>
      </c>
      <c r="K56" s="1292">
        <v>203</v>
      </c>
      <c r="L56" s="1292"/>
      <c r="M56" s="1292"/>
      <c r="N56" s="841">
        <v>203</v>
      </c>
      <c r="O56" s="842"/>
    </row>
    <row r="57" spans="1:15" ht="15" customHeight="1">
      <c r="A57" s="1289"/>
      <c r="B57" s="1290" t="s">
        <v>316</v>
      </c>
      <c r="C57" s="1290" t="s">
        <v>9</v>
      </c>
      <c r="D57" s="1290" t="s">
        <v>317</v>
      </c>
      <c r="E57" s="1290"/>
      <c r="F57" s="1292">
        <v>884</v>
      </c>
      <c r="G57" s="1292"/>
      <c r="H57" s="1292"/>
      <c r="I57" s="841">
        <v>0</v>
      </c>
      <c r="J57" s="841">
        <v>0</v>
      </c>
      <c r="K57" s="1292">
        <v>35359</v>
      </c>
      <c r="L57" s="1292"/>
      <c r="M57" s="1292"/>
      <c r="N57" s="841">
        <v>36243</v>
      </c>
      <c r="O57" s="842"/>
    </row>
    <row r="58" spans="1:15" ht="15" customHeight="1">
      <c r="A58" s="1289"/>
      <c r="B58" s="1290"/>
      <c r="C58" s="1290"/>
      <c r="D58" s="1290" t="s">
        <v>318</v>
      </c>
      <c r="E58" s="1290"/>
      <c r="F58" s="1292">
        <v>0</v>
      </c>
      <c r="G58" s="1292"/>
      <c r="H58" s="1292"/>
      <c r="I58" s="841">
        <v>0</v>
      </c>
      <c r="J58" s="841">
        <v>0</v>
      </c>
      <c r="K58" s="1292">
        <v>0</v>
      </c>
      <c r="L58" s="1292"/>
      <c r="M58" s="1292"/>
      <c r="N58" s="841">
        <v>0</v>
      </c>
      <c r="O58" s="842"/>
    </row>
    <row r="59" spans="1:15" ht="15" customHeight="1">
      <c r="A59" s="1289"/>
      <c r="B59" s="1290"/>
      <c r="C59" s="1290" t="s">
        <v>10</v>
      </c>
      <c r="D59" s="1290" t="s">
        <v>317</v>
      </c>
      <c r="E59" s="1290"/>
      <c r="F59" s="1292">
        <v>59</v>
      </c>
      <c r="G59" s="1292"/>
      <c r="H59" s="1292"/>
      <c r="I59" s="841">
        <v>0</v>
      </c>
      <c r="J59" s="841">
        <v>0</v>
      </c>
      <c r="K59" s="1292">
        <v>5274</v>
      </c>
      <c r="L59" s="1292"/>
      <c r="M59" s="1292"/>
      <c r="N59" s="841">
        <v>5333</v>
      </c>
      <c r="O59" s="842"/>
    </row>
    <row r="60" spans="1:15" ht="15" customHeight="1">
      <c r="A60" s="1289"/>
      <c r="B60" s="1290"/>
      <c r="C60" s="1290"/>
      <c r="D60" s="1290" t="s">
        <v>318</v>
      </c>
      <c r="E60" s="1290"/>
      <c r="F60" s="1292">
        <v>0</v>
      </c>
      <c r="G60" s="1292"/>
      <c r="H60" s="1292"/>
      <c r="I60" s="841">
        <v>0</v>
      </c>
      <c r="J60" s="841">
        <v>0</v>
      </c>
      <c r="K60" s="1292">
        <v>0</v>
      </c>
      <c r="L60" s="1292"/>
      <c r="M60" s="1292"/>
      <c r="N60" s="841">
        <v>0</v>
      </c>
      <c r="O60" s="842"/>
    </row>
    <row r="61" spans="1:15" s="849" customFormat="1" ht="15" customHeight="1">
      <c r="A61" s="844"/>
      <c r="B61" s="845"/>
      <c r="C61" s="845"/>
      <c r="D61" s="845"/>
      <c r="E61" s="845"/>
      <c r="F61" s="846"/>
      <c r="G61" s="846"/>
      <c r="H61" s="847"/>
      <c r="I61" s="847"/>
      <c r="J61" s="847"/>
      <c r="K61" s="847"/>
      <c r="L61" s="847"/>
      <c r="M61" s="847"/>
      <c r="N61" s="847"/>
      <c r="O61" s="848"/>
    </row>
    <row r="62" spans="1:15" s="849" customFormat="1" ht="15" customHeight="1">
      <c r="A62" s="850" t="s">
        <v>319</v>
      </c>
      <c r="B62" s="851"/>
      <c r="C62" s="851"/>
      <c r="D62" s="851"/>
      <c r="E62" s="851"/>
      <c r="F62" s="852"/>
      <c r="G62" s="852"/>
      <c r="H62" s="853"/>
      <c r="I62" s="853"/>
      <c r="J62" s="853"/>
      <c r="K62" s="853"/>
      <c r="L62" s="853"/>
      <c r="M62" s="853"/>
      <c r="N62" s="853"/>
      <c r="O62" s="848"/>
    </row>
    <row r="63" spans="1:15" s="849" customFormat="1" ht="15" customHeight="1">
      <c r="A63" s="854"/>
      <c r="B63" s="855"/>
      <c r="C63" s="855"/>
      <c r="D63" s="855"/>
      <c r="E63" s="855"/>
      <c r="F63" s="856"/>
      <c r="G63" s="856"/>
      <c r="H63" s="857"/>
      <c r="I63" s="857"/>
      <c r="J63" s="857"/>
      <c r="K63" s="857"/>
      <c r="L63" s="857"/>
      <c r="M63" s="857"/>
      <c r="N63" s="857"/>
      <c r="O63" s="848"/>
    </row>
    <row r="64" spans="1:15" ht="15" customHeight="1">
      <c r="A64" s="1291" t="s">
        <v>246</v>
      </c>
      <c r="B64" s="839"/>
      <c r="C64" s="839"/>
      <c r="D64" s="839"/>
      <c r="E64" s="839"/>
      <c r="F64" s="1288" t="s">
        <v>110</v>
      </c>
      <c r="G64" s="1288"/>
      <c r="H64" s="1288"/>
      <c r="I64" s="1288"/>
      <c r="J64" s="1288"/>
      <c r="K64" s="1288"/>
      <c r="L64" s="1288"/>
      <c r="M64" s="1288"/>
      <c r="N64" s="1288"/>
    </row>
    <row r="65" spans="1:14" ht="15" customHeight="1">
      <c r="A65" s="1291"/>
      <c r="B65" s="839"/>
      <c r="C65" s="839"/>
      <c r="D65" s="839"/>
      <c r="E65" s="839" t="s">
        <v>301</v>
      </c>
      <c r="F65" s="840" t="s">
        <v>302</v>
      </c>
      <c r="G65" s="840" t="s">
        <v>303</v>
      </c>
      <c r="H65" s="840" t="s">
        <v>304</v>
      </c>
      <c r="I65" s="840" t="s">
        <v>305</v>
      </c>
      <c r="J65" s="840" t="s">
        <v>306</v>
      </c>
      <c r="K65" s="840" t="s">
        <v>307</v>
      </c>
      <c r="L65" s="840" t="s">
        <v>308</v>
      </c>
      <c r="M65" s="840" t="s">
        <v>309</v>
      </c>
      <c r="N65" s="840" t="s">
        <v>24</v>
      </c>
    </row>
    <row r="66" spans="1:14" ht="15" customHeight="1">
      <c r="A66" s="1289" t="s">
        <v>320</v>
      </c>
      <c r="B66" s="1290" t="s">
        <v>310</v>
      </c>
      <c r="C66" s="1290"/>
      <c r="D66" s="1290"/>
      <c r="E66" s="1290"/>
      <c r="F66" s="841">
        <v>8562</v>
      </c>
      <c r="G66" s="841">
        <v>205090</v>
      </c>
      <c r="H66" s="841">
        <v>182889</v>
      </c>
      <c r="I66" s="841">
        <v>355832</v>
      </c>
      <c r="J66" s="841">
        <v>581385</v>
      </c>
      <c r="K66" s="841">
        <v>1134610</v>
      </c>
      <c r="L66" s="841">
        <v>2093172</v>
      </c>
      <c r="M66" s="841">
        <v>3470935</v>
      </c>
      <c r="N66" s="841">
        <v>8032475</v>
      </c>
    </row>
    <row r="67" spans="1:14" ht="15" customHeight="1">
      <c r="A67" s="1289"/>
      <c r="B67" s="1290" t="s">
        <v>311</v>
      </c>
      <c r="C67" s="1290" t="s">
        <v>9</v>
      </c>
      <c r="D67" s="1290" t="s">
        <v>312</v>
      </c>
      <c r="E67" s="843" t="s">
        <v>313</v>
      </c>
      <c r="F67" s="841">
        <v>38362</v>
      </c>
      <c r="G67" s="841">
        <v>175802</v>
      </c>
      <c r="H67" s="841">
        <v>66767</v>
      </c>
      <c r="I67" s="841">
        <v>144864</v>
      </c>
      <c r="J67" s="841">
        <v>108917</v>
      </c>
      <c r="K67" s="841">
        <v>493361</v>
      </c>
      <c r="L67" s="841">
        <v>741395</v>
      </c>
      <c r="M67" s="841">
        <v>839073</v>
      </c>
      <c r="N67" s="841">
        <v>2608541</v>
      </c>
    </row>
    <row r="68" spans="1:14" ht="15" customHeight="1">
      <c r="A68" s="1289"/>
      <c r="B68" s="1290"/>
      <c r="C68" s="1290"/>
      <c r="D68" s="1290"/>
      <c r="E68" s="843" t="s">
        <v>314</v>
      </c>
      <c r="F68" s="841">
        <v>1217</v>
      </c>
      <c r="G68" s="841">
        <v>53495</v>
      </c>
      <c r="H68" s="841">
        <v>72606</v>
      </c>
      <c r="I68" s="841">
        <v>109361</v>
      </c>
      <c r="J68" s="841">
        <v>323684</v>
      </c>
      <c r="K68" s="841">
        <v>410085</v>
      </c>
      <c r="L68" s="841">
        <v>1173147</v>
      </c>
      <c r="M68" s="841">
        <v>2178187</v>
      </c>
      <c r="N68" s="841">
        <v>4321782</v>
      </c>
    </row>
    <row r="69" spans="1:14" ht="15" customHeight="1">
      <c r="A69" s="1289"/>
      <c r="B69" s="1290"/>
      <c r="C69" s="1290"/>
      <c r="D69" s="1290" t="s">
        <v>315</v>
      </c>
      <c r="E69" s="843" t="s">
        <v>313</v>
      </c>
      <c r="F69" s="841">
        <v>193</v>
      </c>
      <c r="G69" s="841">
        <v>190</v>
      </c>
      <c r="H69" s="841">
        <v>0</v>
      </c>
      <c r="I69" s="841">
        <v>0</v>
      </c>
      <c r="J69" s="841">
        <v>2939</v>
      </c>
      <c r="K69" s="841">
        <v>0</v>
      </c>
      <c r="L69" s="841">
        <v>484</v>
      </c>
      <c r="M69" s="841">
        <v>0</v>
      </c>
      <c r="N69" s="841">
        <v>3806</v>
      </c>
    </row>
    <row r="70" spans="1:14" ht="15" customHeight="1">
      <c r="A70" s="1289"/>
      <c r="B70" s="1290"/>
      <c r="C70" s="1290"/>
      <c r="D70" s="1290"/>
      <c r="E70" s="843" t="s">
        <v>314</v>
      </c>
      <c r="F70" s="841">
        <v>458</v>
      </c>
      <c r="G70" s="841">
        <v>2626</v>
      </c>
      <c r="H70" s="841">
        <v>3306</v>
      </c>
      <c r="I70" s="841">
        <v>4901</v>
      </c>
      <c r="J70" s="841">
        <v>24715</v>
      </c>
      <c r="K70" s="841">
        <v>2191</v>
      </c>
      <c r="L70" s="841">
        <v>8012</v>
      </c>
      <c r="M70" s="841">
        <v>119951</v>
      </c>
      <c r="N70" s="841">
        <v>166160</v>
      </c>
    </row>
    <row r="71" spans="1:14" ht="15" customHeight="1">
      <c r="A71" s="1289"/>
      <c r="B71" s="1290"/>
      <c r="C71" s="1290" t="s">
        <v>10</v>
      </c>
      <c r="D71" s="1290" t="s">
        <v>312</v>
      </c>
      <c r="E71" s="843" t="s">
        <v>313</v>
      </c>
      <c r="F71" s="841">
        <v>3780</v>
      </c>
      <c r="G71" s="841">
        <v>45129</v>
      </c>
      <c r="H71" s="841">
        <v>23340</v>
      </c>
      <c r="I71" s="841">
        <v>32033</v>
      </c>
      <c r="J71" s="841">
        <v>32103</v>
      </c>
      <c r="K71" s="841">
        <v>168475</v>
      </c>
      <c r="L71" s="841">
        <v>28076</v>
      </c>
      <c r="M71" s="841">
        <v>34066</v>
      </c>
      <c r="N71" s="841">
        <v>367002</v>
      </c>
    </row>
    <row r="72" spans="1:14" ht="15" customHeight="1">
      <c r="A72" s="1289"/>
      <c r="B72" s="1290"/>
      <c r="C72" s="1290"/>
      <c r="D72" s="1290"/>
      <c r="E72" s="843" t="s">
        <v>314</v>
      </c>
      <c r="F72" s="841">
        <v>119</v>
      </c>
      <c r="G72" s="841">
        <v>17595</v>
      </c>
      <c r="H72" s="841">
        <v>31135</v>
      </c>
      <c r="I72" s="841">
        <v>43803</v>
      </c>
      <c r="J72" s="841">
        <v>35592</v>
      </c>
      <c r="K72" s="841">
        <v>53786</v>
      </c>
      <c r="L72" s="841">
        <v>93436</v>
      </c>
      <c r="M72" s="841">
        <v>157135</v>
      </c>
      <c r="N72" s="841">
        <v>432601</v>
      </c>
    </row>
    <row r="73" spans="1:14" ht="15" customHeight="1">
      <c r="A73" s="1289"/>
      <c r="B73" s="1290"/>
      <c r="C73" s="1290"/>
      <c r="D73" s="1290" t="s">
        <v>315</v>
      </c>
      <c r="E73" s="843" t="s">
        <v>313</v>
      </c>
      <c r="F73" s="841">
        <v>140</v>
      </c>
      <c r="G73" s="841">
        <v>0</v>
      </c>
      <c r="H73" s="841">
        <v>0</v>
      </c>
      <c r="I73" s="841">
        <v>0</v>
      </c>
      <c r="J73" s="841">
        <v>46</v>
      </c>
      <c r="K73" s="841">
        <v>0</v>
      </c>
      <c r="L73" s="841">
        <v>0</v>
      </c>
      <c r="M73" s="841">
        <v>0</v>
      </c>
      <c r="N73" s="841">
        <v>186</v>
      </c>
    </row>
    <row r="74" spans="1:14" ht="15" customHeight="1">
      <c r="A74" s="1289"/>
      <c r="B74" s="1290"/>
      <c r="C74" s="1290"/>
      <c r="D74" s="1290"/>
      <c r="E74" s="843" t="s">
        <v>314</v>
      </c>
      <c r="F74" s="841">
        <v>0</v>
      </c>
      <c r="G74" s="841">
        <v>850</v>
      </c>
      <c r="H74" s="841">
        <v>387</v>
      </c>
      <c r="I74" s="841">
        <v>302</v>
      </c>
      <c r="J74" s="841">
        <v>2013</v>
      </c>
      <c r="K74" s="841">
        <v>78</v>
      </c>
      <c r="L74" s="841">
        <v>0</v>
      </c>
      <c r="M74" s="841">
        <v>1500</v>
      </c>
      <c r="N74" s="841">
        <v>5130</v>
      </c>
    </row>
    <row r="75" spans="1:14" ht="15" customHeight="1">
      <c r="A75" s="1289"/>
      <c r="B75" s="1290" t="s">
        <v>316</v>
      </c>
      <c r="C75" s="1290" t="s">
        <v>9</v>
      </c>
      <c r="D75" s="1290" t="s">
        <v>317</v>
      </c>
      <c r="E75" s="1290"/>
      <c r="F75" s="841">
        <v>0</v>
      </c>
      <c r="G75" s="841">
        <v>3900</v>
      </c>
      <c r="H75" s="841">
        <v>9833</v>
      </c>
      <c r="I75" s="841">
        <v>19418</v>
      </c>
      <c r="J75" s="841">
        <v>91584</v>
      </c>
      <c r="K75" s="841">
        <v>75271</v>
      </c>
      <c r="L75" s="841">
        <v>0</v>
      </c>
      <c r="M75" s="841">
        <v>359425</v>
      </c>
      <c r="N75" s="841">
        <v>559431</v>
      </c>
    </row>
    <row r="76" spans="1:14" ht="15" customHeight="1">
      <c r="A76" s="1289"/>
      <c r="B76" s="1290"/>
      <c r="C76" s="1290"/>
      <c r="D76" s="1290" t="s">
        <v>318</v>
      </c>
      <c r="E76" s="1290"/>
      <c r="F76" s="841">
        <v>0</v>
      </c>
      <c r="G76" s="841">
        <v>65</v>
      </c>
      <c r="H76" s="841">
        <v>15</v>
      </c>
      <c r="I76" s="841">
        <v>0</v>
      </c>
      <c r="J76" s="841">
        <v>0</v>
      </c>
      <c r="K76" s="841">
        <v>0</v>
      </c>
      <c r="L76" s="841">
        <v>0</v>
      </c>
      <c r="M76" s="841">
        <v>215</v>
      </c>
      <c r="N76" s="841">
        <v>295</v>
      </c>
    </row>
    <row r="77" spans="1:14" ht="15" customHeight="1">
      <c r="A77" s="1289"/>
      <c r="B77" s="1290"/>
      <c r="C77" s="1290" t="s">
        <v>10</v>
      </c>
      <c r="D77" s="1290" t="s">
        <v>317</v>
      </c>
      <c r="E77" s="1290"/>
      <c r="F77" s="841">
        <v>0</v>
      </c>
      <c r="G77" s="841">
        <v>5632</v>
      </c>
      <c r="H77" s="841">
        <v>6993</v>
      </c>
      <c r="I77" s="841">
        <v>8089</v>
      </c>
      <c r="J77" s="841">
        <v>10870</v>
      </c>
      <c r="K77" s="841">
        <v>0</v>
      </c>
      <c r="L77" s="841">
        <v>0</v>
      </c>
      <c r="M77" s="841">
        <v>29439</v>
      </c>
      <c r="N77" s="841">
        <v>61023</v>
      </c>
    </row>
    <row r="78" spans="1:14" ht="15" customHeight="1">
      <c r="A78" s="1289"/>
      <c r="B78" s="1290"/>
      <c r="C78" s="1290"/>
      <c r="D78" s="1290" t="s">
        <v>318</v>
      </c>
      <c r="E78" s="1290"/>
      <c r="F78" s="841">
        <v>0</v>
      </c>
      <c r="G78" s="841">
        <v>0</v>
      </c>
      <c r="H78" s="841">
        <v>0</v>
      </c>
      <c r="I78" s="841">
        <v>0</v>
      </c>
      <c r="J78" s="841">
        <v>0</v>
      </c>
      <c r="K78" s="841">
        <v>0</v>
      </c>
      <c r="L78" s="841">
        <v>0</v>
      </c>
      <c r="M78" s="841">
        <v>0</v>
      </c>
      <c r="N78" s="841">
        <v>0</v>
      </c>
    </row>
    <row r="79" spans="1:14" ht="15" customHeight="1">
      <c r="A79" s="838" t="s">
        <v>321</v>
      </c>
    </row>
    <row r="80" spans="1:14" ht="15" customHeight="1">
      <c r="A80" s="838" t="s">
        <v>322</v>
      </c>
    </row>
    <row r="81" spans="1:1" ht="15" customHeight="1">
      <c r="A81" s="838" t="s">
        <v>323</v>
      </c>
    </row>
    <row r="82" spans="1:1" ht="15" customHeight="1">
      <c r="A82" s="838" t="s">
        <v>324</v>
      </c>
    </row>
  </sheetData>
  <mergeCells count="164">
    <mergeCell ref="A2:A3"/>
    <mergeCell ref="F2:N2"/>
    <mergeCell ref="A4:A16"/>
    <mergeCell ref="B4:E4"/>
    <mergeCell ref="F4:H4"/>
    <mergeCell ref="K4:M4"/>
    <mergeCell ref="B5:B12"/>
    <mergeCell ref="C5:C8"/>
    <mergeCell ref="D5:D6"/>
    <mergeCell ref="F5:H5"/>
    <mergeCell ref="K11:M11"/>
    <mergeCell ref="F12:H12"/>
    <mergeCell ref="K5:M5"/>
    <mergeCell ref="F6:H6"/>
    <mergeCell ref="K6:M6"/>
    <mergeCell ref="D7:D8"/>
    <mergeCell ref="F7:H7"/>
    <mergeCell ref="K7:M7"/>
    <mergeCell ref="F8:H8"/>
    <mergeCell ref="K8:M8"/>
    <mergeCell ref="D15:E15"/>
    <mergeCell ref="F15:H15"/>
    <mergeCell ref="K15:M15"/>
    <mergeCell ref="D16:E16"/>
    <mergeCell ref="F16:H16"/>
    <mergeCell ref="K16:M16"/>
    <mergeCell ref="K12:M12"/>
    <mergeCell ref="B13:B16"/>
    <mergeCell ref="C13:C14"/>
    <mergeCell ref="D13:E13"/>
    <mergeCell ref="F13:H13"/>
    <mergeCell ref="K13:M13"/>
    <mergeCell ref="D14:E14"/>
    <mergeCell ref="F14:H14"/>
    <mergeCell ref="K14:M14"/>
    <mergeCell ref="C15:C16"/>
    <mergeCell ref="C9:C12"/>
    <mergeCell ref="D9:D10"/>
    <mergeCell ref="F9:H9"/>
    <mergeCell ref="K9:M9"/>
    <mergeCell ref="F10:H10"/>
    <mergeCell ref="K10:M10"/>
    <mergeCell ref="D11:D12"/>
    <mergeCell ref="F11:H11"/>
    <mergeCell ref="F21:G21"/>
    <mergeCell ref="C22:C25"/>
    <mergeCell ref="D22:D23"/>
    <mergeCell ref="F22:G22"/>
    <mergeCell ref="F23:G23"/>
    <mergeCell ref="D24:D25"/>
    <mergeCell ref="F24:G24"/>
    <mergeCell ref="F25:G25"/>
    <mergeCell ref="A17:A29"/>
    <mergeCell ref="B17:E17"/>
    <mergeCell ref="F17:G17"/>
    <mergeCell ref="B18:B25"/>
    <mergeCell ref="C18:C21"/>
    <mergeCell ref="D18:D19"/>
    <mergeCell ref="F18:G18"/>
    <mergeCell ref="F19:G19"/>
    <mergeCell ref="D20:D21"/>
    <mergeCell ref="F20:G20"/>
    <mergeCell ref="F29:G29"/>
    <mergeCell ref="B26:B29"/>
    <mergeCell ref="C26:C27"/>
    <mergeCell ref="D26:E26"/>
    <mergeCell ref="F26:G26"/>
    <mergeCell ref="D27:E27"/>
    <mergeCell ref="A33:A34"/>
    <mergeCell ref="F33:N33"/>
    <mergeCell ref="A35:A47"/>
    <mergeCell ref="B35:E35"/>
    <mergeCell ref="F35:G35"/>
    <mergeCell ref="B36:B43"/>
    <mergeCell ref="C36:C39"/>
    <mergeCell ref="D36:D37"/>
    <mergeCell ref="F36:G36"/>
    <mergeCell ref="C40:C43"/>
    <mergeCell ref="D40:D41"/>
    <mergeCell ref="F40:G40"/>
    <mergeCell ref="F41:G41"/>
    <mergeCell ref="D42:D43"/>
    <mergeCell ref="F42:G42"/>
    <mergeCell ref="F43:G43"/>
    <mergeCell ref="B44:B47"/>
    <mergeCell ref="C44:C45"/>
    <mergeCell ref="D44:E44"/>
    <mergeCell ref="F44:G44"/>
    <mergeCell ref="D45:E45"/>
    <mergeCell ref="F45:G45"/>
    <mergeCell ref="C46:C47"/>
    <mergeCell ref="D46:E46"/>
    <mergeCell ref="F27:G27"/>
    <mergeCell ref="C28:C29"/>
    <mergeCell ref="D28:E28"/>
    <mergeCell ref="F28:G28"/>
    <mergeCell ref="D29:E29"/>
    <mergeCell ref="F37:G37"/>
    <mergeCell ref="D38:D39"/>
    <mergeCell ref="F38:G38"/>
    <mergeCell ref="F39:G39"/>
    <mergeCell ref="F46:G46"/>
    <mergeCell ref="D47:E47"/>
    <mergeCell ref="F47:G47"/>
    <mergeCell ref="A48:A60"/>
    <mergeCell ref="B48:E48"/>
    <mergeCell ref="F48:H48"/>
    <mergeCell ref="K48:M48"/>
    <mergeCell ref="B49:B56"/>
    <mergeCell ref="C49:C52"/>
    <mergeCell ref="D49:D50"/>
    <mergeCell ref="F49:H49"/>
    <mergeCell ref="K55:M55"/>
    <mergeCell ref="F56:H56"/>
    <mergeCell ref="K49:M49"/>
    <mergeCell ref="F50:H50"/>
    <mergeCell ref="K50:M50"/>
    <mergeCell ref="D51:D52"/>
    <mergeCell ref="F51:H51"/>
    <mergeCell ref="K51:M51"/>
    <mergeCell ref="F52:H52"/>
    <mergeCell ref="K52:M52"/>
    <mergeCell ref="D59:E59"/>
    <mergeCell ref="F59:H59"/>
    <mergeCell ref="K59:M59"/>
    <mergeCell ref="D60:E60"/>
    <mergeCell ref="F60:H60"/>
    <mergeCell ref="K60:M60"/>
    <mergeCell ref="K56:M56"/>
    <mergeCell ref="B57:B60"/>
    <mergeCell ref="C57:C58"/>
    <mergeCell ref="D57:E57"/>
    <mergeCell ref="F57:H57"/>
    <mergeCell ref="K57:M57"/>
    <mergeCell ref="D58:E58"/>
    <mergeCell ref="F58:H58"/>
    <mergeCell ref="K58:M58"/>
    <mergeCell ref="C59:C60"/>
    <mergeCell ref="C53:C56"/>
    <mergeCell ref="D53:D54"/>
    <mergeCell ref="F53:H53"/>
    <mergeCell ref="K53:M53"/>
    <mergeCell ref="F54:H54"/>
    <mergeCell ref="K54:M54"/>
    <mergeCell ref="D55:D56"/>
    <mergeCell ref="F55:H55"/>
    <mergeCell ref="F64:N64"/>
    <mergeCell ref="A66:A78"/>
    <mergeCell ref="B66:E66"/>
    <mergeCell ref="B67:B74"/>
    <mergeCell ref="C67:C70"/>
    <mergeCell ref="D67:D68"/>
    <mergeCell ref="D69:D70"/>
    <mergeCell ref="C71:C74"/>
    <mergeCell ref="D71:D72"/>
    <mergeCell ref="D73:D74"/>
    <mergeCell ref="B75:B78"/>
    <mergeCell ref="C75:C76"/>
    <mergeCell ref="D75:E75"/>
    <mergeCell ref="D76:E76"/>
    <mergeCell ref="C77:C78"/>
    <mergeCell ref="D77:E77"/>
    <mergeCell ref="D78:E78"/>
    <mergeCell ref="A64:A65"/>
  </mergeCells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zoomScaleNormal="100" workbookViewId="0">
      <selection activeCell="B5" sqref="B5"/>
    </sheetView>
  </sheetViews>
  <sheetFormatPr baseColWidth="10" defaultRowHeight="12.75"/>
  <cols>
    <col min="1" max="1" width="11.42578125" style="864"/>
    <col min="2" max="2" width="13.140625" style="864" customWidth="1"/>
    <col min="3" max="7" width="11.42578125" style="864" customWidth="1"/>
    <col min="8" max="252" width="11.42578125" style="864"/>
    <col min="253" max="253" width="13.140625" style="864" customWidth="1"/>
    <col min="254" max="258" width="11.42578125" style="864" customWidth="1"/>
    <col min="259" max="259" width="11.42578125" style="864"/>
    <col min="260" max="260" width="11.7109375" style="864" bestFit="1" customWidth="1"/>
    <col min="261" max="262" width="11.42578125" style="864"/>
    <col min="263" max="263" width="12.5703125" style="864" bestFit="1" customWidth="1"/>
    <col min="264" max="508" width="11.42578125" style="864"/>
    <col min="509" max="509" width="13.140625" style="864" customWidth="1"/>
    <col min="510" max="514" width="11.42578125" style="864" customWidth="1"/>
    <col min="515" max="515" width="11.42578125" style="864"/>
    <col min="516" max="516" width="11.7109375" style="864" bestFit="1" customWidth="1"/>
    <col min="517" max="518" width="11.42578125" style="864"/>
    <col min="519" max="519" width="12.5703125" style="864" bestFit="1" customWidth="1"/>
    <col min="520" max="764" width="11.42578125" style="864"/>
    <col min="765" max="765" width="13.140625" style="864" customWidth="1"/>
    <col min="766" max="770" width="11.42578125" style="864" customWidth="1"/>
    <col min="771" max="771" width="11.42578125" style="864"/>
    <col min="772" max="772" width="11.7109375" style="864" bestFit="1" customWidth="1"/>
    <col min="773" max="774" width="11.42578125" style="864"/>
    <col min="775" max="775" width="12.5703125" style="864" bestFit="1" customWidth="1"/>
    <col min="776" max="1020" width="11.42578125" style="864"/>
    <col min="1021" max="1021" width="13.140625" style="864" customWidth="1"/>
    <col min="1022" max="1026" width="11.42578125" style="864" customWidth="1"/>
    <col min="1027" max="1027" width="11.42578125" style="864"/>
    <col min="1028" max="1028" width="11.7109375" style="864" bestFit="1" customWidth="1"/>
    <col min="1029" max="1030" width="11.42578125" style="864"/>
    <col min="1031" max="1031" width="12.5703125" style="864" bestFit="1" customWidth="1"/>
    <col min="1032" max="1276" width="11.42578125" style="864"/>
    <col min="1277" max="1277" width="13.140625" style="864" customWidth="1"/>
    <col min="1278" max="1282" width="11.42578125" style="864" customWidth="1"/>
    <col min="1283" max="1283" width="11.42578125" style="864"/>
    <col min="1284" max="1284" width="11.7109375" style="864" bestFit="1" customWidth="1"/>
    <col min="1285" max="1286" width="11.42578125" style="864"/>
    <col min="1287" max="1287" width="12.5703125" style="864" bestFit="1" customWidth="1"/>
    <col min="1288" max="1532" width="11.42578125" style="864"/>
    <col min="1533" max="1533" width="13.140625" style="864" customWidth="1"/>
    <col min="1534" max="1538" width="11.42578125" style="864" customWidth="1"/>
    <col min="1539" max="1539" width="11.42578125" style="864"/>
    <col min="1540" max="1540" width="11.7109375" style="864" bestFit="1" customWidth="1"/>
    <col min="1541" max="1542" width="11.42578125" style="864"/>
    <col min="1543" max="1543" width="12.5703125" style="864" bestFit="1" customWidth="1"/>
    <col min="1544" max="1788" width="11.42578125" style="864"/>
    <col min="1789" max="1789" width="13.140625" style="864" customWidth="1"/>
    <col min="1790" max="1794" width="11.42578125" style="864" customWidth="1"/>
    <col min="1795" max="1795" width="11.42578125" style="864"/>
    <col min="1796" max="1796" width="11.7109375" style="864" bestFit="1" customWidth="1"/>
    <col min="1797" max="1798" width="11.42578125" style="864"/>
    <col min="1799" max="1799" width="12.5703125" style="864" bestFit="1" customWidth="1"/>
    <col min="1800" max="2044" width="11.42578125" style="864"/>
    <col min="2045" max="2045" width="13.140625" style="864" customWidth="1"/>
    <col min="2046" max="2050" width="11.42578125" style="864" customWidth="1"/>
    <col min="2051" max="2051" width="11.42578125" style="864"/>
    <col min="2052" max="2052" width="11.7109375" style="864" bestFit="1" customWidth="1"/>
    <col min="2053" max="2054" width="11.42578125" style="864"/>
    <col min="2055" max="2055" width="12.5703125" style="864" bestFit="1" customWidth="1"/>
    <col min="2056" max="2300" width="11.42578125" style="864"/>
    <col min="2301" max="2301" width="13.140625" style="864" customWidth="1"/>
    <col min="2302" max="2306" width="11.42578125" style="864" customWidth="1"/>
    <col min="2307" max="2307" width="11.42578125" style="864"/>
    <col min="2308" max="2308" width="11.7109375" style="864" bestFit="1" customWidth="1"/>
    <col min="2309" max="2310" width="11.42578125" style="864"/>
    <col min="2311" max="2311" width="12.5703125" style="864" bestFit="1" customWidth="1"/>
    <col min="2312" max="2556" width="11.42578125" style="864"/>
    <col min="2557" max="2557" width="13.140625" style="864" customWidth="1"/>
    <col min="2558" max="2562" width="11.42578125" style="864" customWidth="1"/>
    <col min="2563" max="2563" width="11.42578125" style="864"/>
    <col min="2564" max="2564" width="11.7109375" style="864" bestFit="1" customWidth="1"/>
    <col min="2565" max="2566" width="11.42578125" style="864"/>
    <col min="2567" max="2567" width="12.5703125" style="864" bestFit="1" customWidth="1"/>
    <col min="2568" max="2812" width="11.42578125" style="864"/>
    <col min="2813" max="2813" width="13.140625" style="864" customWidth="1"/>
    <col min="2814" max="2818" width="11.42578125" style="864" customWidth="1"/>
    <col min="2819" max="2819" width="11.42578125" style="864"/>
    <col min="2820" max="2820" width="11.7109375" style="864" bestFit="1" customWidth="1"/>
    <col min="2821" max="2822" width="11.42578125" style="864"/>
    <col min="2823" max="2823" width="12.5703125" style="864" bestFit="1" customWidth="1"/>
    <col min="2824" max="3068" width="11.42578125" style="864"/>
    <col min="3069" max="3069" width="13.140625" style="864" customWidth="1"/>
    <col min="3070" max="3074" width="11.42578125" style="864" customWidth="1"/>
    <col min="3075" max="3075" width="11.42578125" style="864"/>
    <col min="3076" max="3076" width="11.7109375" style="864" bestFit="1" customWidth="1"/>
    <col min="3077" max="3078" width="11.42578125" style="864"/>
    <col min="3079" max="3079" width="12.5703125" style="864" bestFit="1" customWidth="1"/>
    <col min="3080" max="3324" width="11.42578125" style="864"/>
    <col min="3325" max="3325" width="13.140625" style="864" customWidth="1"/>
    <col min="3326" max="3330" width="11.42578125" style="864" customWidth="1"/>
    <col min="3331" max="3331" width="11.42578125" style="864"/>
    <col min="3332" max="3332" width="11.7109375" style="864" bestFit="1" customWidth="1"/>
    <col min="3333" max="3334" width="11.42578125" style="864"/>
    <col min="3335" max="3335" width="12.5703125" style="864" bestFit="1" customWidth="1"/>
    <col min="3336" max="3580" width="11.42578125" style="864"/>
    <col min="3581" max="3581" width="13.140625" style="864" customWidth="1"/>
    <col min="3582" max="3586" width="11.42578125" style="864" customWidth="1"/>
    <col min="3587" max="3587" width="11.42578125" style="864"/>
    <col min="3588" max="3588" width="11.7109375" style="864" bestFit="1" customWidth="1"/>
    <col min="3589" max="3590" width="11.42578125" style="864"/>
    <col min="3591" max="3591" width="12.5703125" style="864" bestFit="1" customWidth="1"/>
    <col min="3592" max="3836" width="11.42578125" style="864"/>
    <col min="3837" max="3837" width="13.140625" style="864" customWidth="1"/>
    <col min="3838" max="3842" width="11.42578125" style="864" customWidth="1"/>
    <col min="3843" max="3843" width="11.42578125" style="864"/>
    <col min="3844" max="3844" width="11.7109375" style="864" bestFit="1" customWidth="1"/>
    <col min="3845" max="3846" width="11.42578125" style="864"/>
    <col min="3847" max="3847" width="12.5703125" style="864" bestFit="1" customWidth="1"/>
    <col min="3848" max="4092" width="11.42578125" style="864"/>
    <col min="4093" max="4093" width="13.140625" style="864" customWidth="1"/>
    <col min="4094" max="4098" width="11.42578125" style="864" customWidth="1"/>
    <col min="4099" max="4099" width="11.42578125" style="864"/>
    <col min="4100" max="4100" width="11.7109375" style="864" bestFit="1" customWidth="1"/>
    <col min="4101" max="4102" width="11.42578125" style="864"/>
    <col min="4103" max="4103" width="12.5703125" style="864" bestFit="1" customWidth="1"/>
    <col min="4104" max="4348" width="11.42578125" style="864"/>
    <col min="4349" max="4349" width="13.140625" style="864" customWidth="1"/>
    <col min="4350" max="4354" width="11.42578125" style="864" customWidth="1"/>
    <col min="4355" max="4355" width="11.42578125" style="864"/>
    <col min="4356" max="4356" width="11.7109375" style="864" bestFit="1" customWidth="1"/>
    <col min="4357" max="4358" width="11.42578125" style="864"/>
    <col min="4359" max="4359" width="12.5703125" style="864" bestFit="1" customWidth="1"/>
    <col min="4360" max="4604" width="11.42578125" style="864"/>
    <col min="4605" max="4605" width="13.140625" style="864" customWidth="1"/>
    <col min="4606" max="4610" width="11.42578125" style="864" customWidth="1"/>
    <col min="4611" max="4611" width="11.42578125" style="864"/>
    <col min="4612" max="4612" width="11.7109375" style="864" bestFit="1" customWidth="1"/>
    <col min="4613" max="4614" width="11.42578125" style="864"/>
    <col min="4615" max="4615" width="12.5703125" style="864" bestFit="1" customWidth="1"/>
    <col min="4616" max="4860" width="11.42578125" style="864"/>
    <col min="4861" max="4861" width="13.140625" style="864" customWidth="1"/>
    <col min="4862" max="4866" width="11.42578125" style="864" customWidth="1"/>
    <col min="4867" max="4867" width="11.42578125" style="864"/>
    <col min="4868" max="4868" width="11.7109375" style="864" bestFit="1" customWidth="1"/>
    <col min="4869" max="4870" width="11.42578125" style="864"/>
    <col min="4871" max="4871" width="12.5703125" style="864" bestFit="1" customWidth="1"/>
    <col min="4872" max="5116" width="11.42578125" style="864"/>
    <col min="5117" max="5117" width="13.140625" style="864" customWidth="1"/>
    <col min="5118" max="5122" width="11.42578125" style="864" customWidth="1"/>
    <col min="5123" max="5123" width="11.42578125" style="864"/>
    <col min="5124" max="5124" width="11.7109375" style="864" bestFit="1" customWidth="1"/>
    <col min="5125" max="5126" width="11.42578125" style="864"/>
    <col min="5127" max="5127" width="12.5703125" style="864" bestFit="1" customWidth="1"/>
    <col min="5128" max="5372" width="11.42578125" style="864"/>
    <col min="5373" max="5373" width="13.140625" style="864" customWidth="1"/>
    <col min="5374" max="5378" width="11.42578125" style="864" customWidth="1"/>
    <col min="5379" max="5379" width="11.42578125" style="864"/>
    <col min="5380" max="5380" width="11.7109375" style="864" bestFit="1" customWidth="1"/>
    <col min="5381" max="5382" width="11.42578125" style="864"/>
    <col min="5383" max="5383" width="12.5703125" style="864" bestFit="1" customWidth="1"/>
    <col min="5384" max="5628" width="11.42578125" style="864"/>
    <col min="5629" max="5629" width="13.140625" style="864" customWidth="1"/>
    <col min="5630" max="5634" width="11.42578125" style="864" customWidth="1"/>
    <col min="5635" max="5635" width="11.42578125" style="864"/>
    <col min="5636" max="5636" width="11.7109375" style="864" bestFit="1" customWidth="1"/>
    <col min="5637" max="5638" width="11.42578125" style="864"/>
    <col min="5639" max="5639" width="12.5703125" style="864" bestFit="1" customWidth="1"/>
    <col min="5640" max="5884" width="11.42578125" style="864"/>
    <col min="5885" max="5885" width="13.140625" style="864" customWidth="1"/>
    <col min="5886" max="5890" width="11.42578125" style="864" customWidth="1"/>
    <col min="5891" max="5891" width="11.42578125" style="864"/>
    <col min="5892" max="5892" width="11.7109375" style="864" bestFit="1" customWidth="1"/>
    <col min="5893" max="5894" width="11.42578125" style="864"/>
    <col min="5895" max="5895" width="12.5703125" style="864" bestFit="1" customWidth="1"/>
    <col min="5896" max="6140" width="11.42578125" style="864"/>
    <col min="6141" max="6141" width="13.140625" style="864" customWidth="1"/>
    <col min="6142" max="6146" width="11.42578125" style="864" customWidth="1"/>
    <col min="6147" max="6147" width="11.42578125" style="864"/>
    <col min="6148" max="6148" width="11.7109375" style="864" bestFit="1" customWidth="1"/>
    <col min="6149" max="6150" width="11.42578125" style="864"/>
    <col min="6151" max="6151" width="12.5703125" style="864" bestFit="1" customWidth="1"/>
    <col min="6152" max="6396" width="11.42578125" style="864"/>
    <col min="6397" max="6397" width="13.140625" style="864" customWidth="1"/>
    <col min="6398" max="6402" width="11.42578125" style="864" customWidth="1"/>
    <col min="6403" max="6403" width="11.42578125" style="864"/>
    <col min="6404" max="6404" width="11.7109375" style="864" bestFit="1" customWidth="1"/>
    <col min="6405" max="6406" width="11.42578125" style="864"/>
    <col min="6407" max="6407" width="12.5703125" style="864" bestFit="1" customWidth="1"/>
    <col min="6408" max="6652" width="11.42578125" style="864"/>
    <col min="6653" max="6653" width="13.140625" style="864" customWidth="1"/>
    <col min="6654" max="6658" width="11.42578125" style="864" customWidth="1"/>
    <col min="6659" max="6659" width="11.42578125" style="864"/>
    <col min="6660" max="6660" width="11.7109375" style="864" bestFit="1" customWidth="1"/>
    <col min="6661" max="6662" width="11.42578125" style="864"/>
    <col min="6663" max="6663" width="12.5703125" style="864" bestFit="1" customWidth="1"/>
    <col min="6664" max="6908" width="11.42578125" style="864"/>
    <col min="6909" max="6909" width="13.140625" style="864" customWidth="1"/>
    <col min="6910" max="6914" width="11.42578125" style="864" customWidth="1"/>
    <col min="6915" max="6915" width="11.42578125" style="864"/>
    <col min="6916" max="6916" width="11.7109375" style="864" bestFit="1" customWidth="1"/>
    <col min="6917" max="6918" width="11.42578125" style="864"/>
    <col min="6919" max="6919" width="12.5703125" style="864" bestFit="1" customWidth="1"/>
    <col min="6920" max="7164" width="11.42578125" style="864"/>
    <col min="7165" max="7165" width="13.140625" style="864" customWidth="1"/>
    <col min="7166" max="7170" width="11.42578125" style="864" customWidth="1"/>
    <col min="7171" max="7171" width="11.42578125" style="864"/>
    <col min="7172" max="7172" width="11.7109375" style="864" bestFit="1" customWidth="1"/>
    <col min="7173" max="7174" width="11.42578125" style="864"/>
    <col min="7175" max="7175" width="12.5703125" style="864" bestFit="1" customWidth="1"/>
    <col min="7176" max="7420" width="11.42578125" style="864"/>
    <col min="7421" max="7421" width="13.140625" style="864" customWidth="1"/>
    <col min="7422" max="7426" width="11.42578125" style="864" customWidth="1"/>
    <col min="7427" max="7427" width="11.42578125" style="864"/>
    <col min="7428" max="7428" width="11.7109375" style="864" bestFit="1" customWidth="1"/>
    <col min="7429" max="7430" width="11.42578125" style="864"/>
    <col min="7431" max="7431" width="12.5703125" style="864" bestFit="1" customWidth="1"/>
    <col min="7432" max="7676" width="11.42578125" style="864"/>
    <col min="7677" max="7677" width="13.140625" style="864" customWidth="1"/>
    <col min="7678" max="7682" width="11.42578125" style="864" customWidth="1"/>
    <col min="7683" max="7683" width="11.42578125" style="864"/>
    <col min="7684" max="7684" width="11.7109375" style="864" bestFit="1" customWidth="1"/>
    <col min="7685" max="7686" width="11.42578125" style="864"/>
    <col min="7687" max="7687" width="12.5703125" style="864" bestFit="1" customWidth="1"/>
    <col min="7688" max="7932" width="11.42578125" style="864"/>
    <col min="7933" max="7933" width="13.140625" style="864" customWidth="1"/>
    <col min="7934" max="7938" width="11.42578125" style="864" customWidth="1"/>
    <col min="7939" max="7939" width="11.42578125" style="864"/>
    <col min="7940" max="7940" width="11.7109375" style="864" bestFit="1" customWidth="1"/>
    <col min="7941" max="7942" width="11.42578125" style="864"/>
    <col min="7943" max="7943" width="12.5703125" style="864" bestFit="1" customWidth="1"/>
    <col min="7944" max="8188" width="11.42578125" style="864"/>
    <col min="8189" max="8189" width="13.140625" style="864" customWidth="1"/>
    <col min="8190" max="8194" width="11.42578125" style="864" customWidth="1"/>
    <col min="8195" max="8195" width="11.42578125" style="864"/>
    <col min="8196" max="8196" width="11.7109375" style="864" bestFit="1" customWidth="1"/>
    <col min="8197" max="8198" width="11.42578125" style="864"/>
    <col min="8199" max="8199" width="12.5703125" style="864" bestFit="1" customWidth="1"/>
    <col min="8200" max="8444" width="11.42578125" style="864"/>
    <col min="8445" max="8445" width="13.140625" style="864" customWidth="1"/>
    <col min="8446" max="8450" width="11.42578125" style="864" customWidth="1"/>
    <col min="8451" max="8451" width="11.42578125" style="864"/>
    <col min="8452" max="8452" width="11.7109375" style="864" bestFit="1" customWidth="1"/>
    <col min="8453" max="8454" width="11.42578125" style="864"/>
    <col min="8455" max="8455" width="12.5703125" style="864" bestFit="1" customWidth="1"/>
    <col min="8456" max="8700" width="11.42578125" style="864"/>
    <col min="8701" max="8701" width="13.140625" style="864" customWidth="1"/>
    <col min="8702" max="8706" width="11.42578125" style="864" customWidth="1"/>
    <col min="8707" max="8707" width="11.42578125" style="864"/>
    <col min="8708" max="8708" width="11.7109375" style="864" bestFit="1" customWidth="1"/>
    <col min="8709" max="8710" width="11.42578125" style="864"/>
    <col min="8711" max="8711" width="12.5703125" style="864" bestFit="1" customWidth="1"/>
    <col min="8712" max="8956" width="11.42578125" style="864"/>
    <col min="8957" max="8957" width="13.140625" style="864" customWidth="1"/>
    <col min="8958" max="8962" width="11.42578125" style="864" customWidth="1"/>
    <col min="8963" max="8963" width="11.42578125" style="864"/>
    <col min="8964" max="8964" width="11.7109375" style="864" bestFit="1" customWidth="1"/>
    <col min="8965" max="8966" width="11.42578125" style="864"/>
    <col min="8967" max="8967" width="12.5703125" style="864" bestFit="1" customWidth="1"/>
    <col min="8968" max="9212" width="11.42578125" style="864"/>
    <col min="9213" max="9213" width="13.140625" style="864" customWidth="1"/>
    <col min="9214" max="9218" width="11.42578125" style="864" customWidth="1"/>
    <col min="9219" max="9219" width="11.42578125" style="864"/>
    <col min="9220" max="9220" width="11.7109375" style="864" bestFit="1" customWidth="1"/>
    <col min="9221" max="9222" width="11.42578125" style="864"/>
    <col min="9223" max="9223" width="12.5703125" style="864" bestFit="1" customWidth="1"/>
    <col min="9224" max="9468" width="11.42578125" style="864"/>
    <col min="9469" max="9469" width="13.140625" style="864" customWidth="1"/>
    <col min="9470" max="9474" width="11.42578125" style="864" customWidth="1"/>
    <col min="9475" max="9475" width="11.42578125" style="864"/>
    <col min="9476" max="9476" width="11.7109375" style="864" bestFit="1" customWidth="1"/>
    <col min="9477" max="9478" width="11.42578125" style="864"/>
    <col min="9479" max="9479" width="12.5703125" style="864" bestFit="1" customWidth="1"/>
    <col min="9480" max="9724" width="11.42578125" style="864"/>
    <col min="9725" max="9725" width="13.140625" style="864" customWidth="1"/>
    <col min="9726" max="9730" width="11.42578125" style="864" customWidth="1"/>
    <col min="9731" max="9731" width="11.42578125" style="864"/>
    <col min="9732" max="9732" width="11.7109375" style="864" bestFit="1" customWidth="1"/>
    <col min="9733" max="9734" width="11.42578125" style="864"/>
    <col min="9735" max="9735" width="12.5703125" style="864" bestFit="1" customWidth="1"/>
    <col min="9736" max="9980" width="11.42578125" style="864"/>
    <col min="9981" max="9981" width="13.140625" style="864" customWidth="1"/>
    <col min="9982" max="9986" width="11.42578125" style="864" customWidth="1"/>
    <col min="9987" max="9987" width="11.42578125" style="864"/>
    <col min="9988" max="9988" width="11.7109375" style="864" bestFit="1" customWidth="1"/>
    <col min="9989" max="9990" width="11.42578125" style="864"/>
    <col min="9991" max="9991" width="12.5703125" style="864" bestFit="1" customWidth="1"/>
    <col min="9992" max="10236" width="11.42578125" style="864"/>
    <col min="10237" max="10237" width="13.140625" style="864" customWidth="1"/>
    <col min="10238" max="10242" width="11.42578125" style="864" customWidth="1"/>
    <col min="10243" max="10243" width="11.42578125" style="864"/>
    <col min="10244" max="10244" width="11.7109375" style="864" bestFit="1" customWidth="1"/>
    <col min="10245" max="10246" width="11.42578125" style="864"/>
    <col min="10247" max="10247" width="12.5703125" style="864" bestFit="1" customWidth="1"/>
    <col min="10248" max="10492" width="11.42578125" style="864"/>
    <col min="10493" max="10493" width="13.140625" style="864" customWidth="1"/>
    <col min="10494" max="10498" width="11.42578125" style="864" customWidth="1"/>
    <col min="10499" max="10499" width="11.42578125" style="864"/>
    <col min="10500" max="10500" width="11.7109375" style="864" bestFit="1" customWidth="1"/>
    <col min="10501" max="10502" width="11.42578125" style="864"/>
    <col min="10503" max="10503" width="12.5703125" style="864" bestFit="1" customWidth="1"/>
    <col min="10504" max="10748" width="11.42578125" style="864"/>
    <col min="10749" max="10749" width="13.140625" style="864" customWidth="1"/>
    <col min="10750" max="10754" width="11.42578125" style="864" customWidth="1"/>
    <col min="10755" max="10755" width="11.42578125" style="864"/>
    <col min="10756" max="10756" width="11.7109375" style="864" bestFit="1" customWidth="1"/>
    <col min="10757" max="10758" width="11.42578125" style="864"/>
    <col min="10759" max="10759" width="12.5703125" style="864" bestFit="1" customWidth="1"/>
    <col min="10760" max="11004" width="11.42578125" style="864"/>
    <col min="11005" max="11005" width="13.140625" style="864" customWidth="1"/>
    <col min="11006" max="11010" width="11.42578125" style="864" customWidth="1"/>
    <col min="11011" max="11011" width="11.42578125" style="864"/>
    <col min="11012" max="11012" width="11.7109375" style="864" bestFit="1" customWidth="1"/>
    <col min="11013" max="11014" width="11.42578125" style="864"/>
    <col min="11015" max="11015" width="12.5703125" style="864" bestFit="1" customWidth="1"/>
    <col min="11016" max="11260" width="11.42578125" style="864"/>
    <col min="11261" max="11261" width="13.140625" style="864" customWidth="1"/>
    <col min="11262" max="11266" width="11.42578125" style="864" customWidth="1"/>
    <col min="11267" max="11267" width="11.42578125" style="864"/>
    <col min="11268" max="11268" width="11.7109375" style="864" bestFit="1" customWidth="1"/>
    <col min="11269" max="11270" width="11.42578125" style="864"/>
    <col min="11271" max="11271" width="12.5703125" style="864" bestFit="1" customWidth="1"/>
    <col min="11272" max="11516" width="11.42578125" style="864"/>
    <col min="11517" max="11517" width="13.140625" style="864" customWidth="1"/>
    <col min="11518" max="11522" width="11.42578125" style="864" customWidth="1"/>
    <col min="11523" max="11523" width="11.42578125" style="864"/>
    <col min="11524" max="11524" width="11.7109375" style="864" bestFit="1" customWidth="1"/>
    <col min="11525" max="11526" width="11.42578125" style="864"/>
    <col min="11527" max="11527" width="12.5703125" style="864" bestFit="1" customWidth="1"/>
    <col min="11528" max="11772" width="11.42578125" style="864"/>
    <col min="11773" max="11773" width="13.140625" style="864" customWidth="1"/>
    <col min="11774" max="11778" width="11.42578125" style="864" customWidth="1"/>
    <col min="11779" max="11779" width="11.42578125" style="864"/>
    <col min="11780" max="11780" width="11.7109375" style="864" bestFit="1" customWidth="1"/>
    <col min="11781" max="11782" width="11.42578125" style="864"/>
    <col min="11783" max="11783" width="12.5703125" style="864" bestFit="1" customWidth="1"/>
    <col min="11784" max="12028" width="11.42578125" style="864"/>
    <col min="12029" max="12029" width="13.140625" style="864" customWidth="1"/>
    <col min="12030" max="12034" width="11.42578125" style="864" customWidth="1"/>
    <col min="12035" max="12035" width="11.42578125" style="864"/>
    <col min="12036" max="12036" width="11.7109375" style="864" bestFit="1" customWidth="1"/>
    <col min="12037" max="12038" width="11.42578125" style="864"/>
    <col min="12039" max="12039" width="12.5703125" style="864" bestFit="1" customWidth="1"/>
    <col min="12040" max="12284" width="11.42578125" style="864"/>
    <col min="12285" max="12285" width="13.140625" style="864" customWidth="1"/>
    <col min="12286" max="12290" width="11.42578125" style="864" customWidth="1"/>
    <col min="12291" max="12291" width="11.42578125" style="864"/>
    <col min="12292" max="12292" width="11.7109375" style="864" bestFit="1" customWidth="1"/>
    <col min="12293" max="12294" width="11.42578125" style="864"/>
    <col min="12295" max="12295" width="12.5703125" style="864" bestFit="1" customWidth="1"/>
    <col min="12296" max="12540" width="11.42578125" style="864"/>
    <col min="12541" max="12541" width="13.140625" style="864" customWidth="1"/>
    <col min="12542" max="12546" width="11.42578125" style="864" customWidth="1"/>
    <col min="12547" max="12547" width="11.42578125" style="864"/>
    <col min="12548" max="12548" width="11.7109375" style="864" bestFit="1" customWidth="1"/>
    <col min="12549" max="12550" width="11.42578125" style="864"/>
    <col min="12551" max="12551" width="12.5703125" style="864" bestFit="1" customWidth="1"/>
    <col min="12552" max="12796" width="11.42578125" style="864"/>
    <col min="12797" max="12797" width="13.140625" style="864" customWidth="1"/>
    <col min="12798" max="12802" width="11.42578125" style="864" customWidth="1"/>
    <col min="12803" max="12803" width="11.42578125" style="864"/>
    <col min="12804" max="12804" width="11.7109375" style="864" bestFit="1" customWidth="1"/>
    <col min="12805" max="12806" width="11.42578125" style="864"/>
    <col min="12807" max="12807" width="12.5703125" style="864" bestFit="1" customWidth="1"/>
    <col min="12808" max="13052" width="11.42578125" style="864"/>
    <col min="13053" max="13053" width="13.140625" style="864" customWidth="1"/>
    <col min="13054" max="13058" width="11.42578125" style="864" customWidth="1"/>
    <col min="13059" max="13059" width="11.42578125" style="864"/>
    <col min="13060" max="13060" width="11.7109375" style="864" bestFit="1" customWidth="1"/>
    <col min="13061" max="13062" width="11.42578125" style="864"/>
    <col min="13063" max="13063" width="12.5703125" style="864" bestFit="1" customWidth="1"/>
    <col min="13064" max="13308" width="11.42578125" style="864"/>
    <col min="13309" max="13309" width="13.140625" style="864" customWidth="1"/>
    <col min="13310" max="13314" width="11.42578125" style="864" customWidth="1"/>
    <col min="13315" max="13315" width="11.42578125" style="864"/>
    <col min="13316" max="13316" width="11.7109375" style="864" bestFit="1" customWidth="1"/>
    <col min="13317" max="13318" width="11.42578125" style="864"/>
    <col min="13319" max="13319" width="12.5703125" style="864" bestFit="1" customWidth="1"/>
    <col min="13320" max="13564" width="11.42578125" style="864"/>
    <col min="13565" max="13565" width="13.140625" style="864" customWidth="1"/>
    <col min="13566" max="13570" width="11.42578125" style="864" customWidth="1"/>
    <col min="13571" max="13571" width="11.42578125" style="864"/>
    <col min="13572" max="13572" width="11.7109375" style="864" bestFit="1" customWidth="1"/>
    <col min="13573" max="13574" width="11.42578125" style="864"/>
    <col min="13575" max="13575" width="12.5703125" style="864" bestFit="1" customWidth="1"/>
    <col min="13576" max="13820" width="11.42578125" style="864"/>
    <col min="13821" max="13821" width="13.140625" style="864" customWidth="1"/>
    <col min="13822" max="13826" width="11.42578125" style="864" customWidth="1"/>
    <col min="13827" max="13827" width="11.42578125" style="864"/>
    <col min="13828" max="13828" width="11.7109375" style="864" bestFit="1" customWidth="1"/>
    <col min="13829" max="13830" width="11.42578125" style="864"/>
    <col min="13831" max="13831" width="12.5703125" style="864" bestFit="1" customWidth="1"/>
    <col min="13832" max="14076" width="11.42578125" style="864"/>
    <col min="14077" max="14077" width="13.140625" style="864" customWidth="1"/>
    <col min="14078" max="14082" width="11.42578125" style="864" customWidth="1"/>
    <col min="14083" max="14083" width="11.42578125" style="864"/>
    <col min="14084" max="14084" width="11.7109375" style="864" bestFit="1" customWidth="1"/>
    <col min="14085" max="14086" width="11.42578125" style="864"/>
    <col min="14087" max="14087" width="12.5703125" style="864" bestFit="1" customWidth="1"/>
    <col min="14088" max="14332" width="11.42578125" style="864"/>
    <col min="14333" max="14333" width="13.140625" style="864" customWidth="1"/>
    <col min="14334" max="14338" width="11.42578125" style="864" customWidth="1"/>
    <col min="14339" max="14339" width="11.42578125" style="864"/>
    <col min="14340" max="14340" width="11.7109375" style="864" bestFit="1" customWidth="1"/>
    <col min="14341" max="14342" width="11.42578125" style="864"/>
    <col min="14343" max="14343" width="12.5703125" style="864" bestFit="1" customWidth="1"/>
    <col min="14344" max="14588" width="11.42578125" style="864"/>
    <col min="14589" max="14589" width="13.140625" style="864" customWidth="1"/>
    <col min="14590" max="14594" width="11.42578125" style="864" customWidth="1"/>
    <col min="14595" max="14595" width="11.42578125" style="864"/>
    <col min="14596" max="14596" width="11.7109375" style="864" bestFit="1" customWidth="1"/>
    <col min="14597" max="14598" width="11.42578125" style="864"/>
    <col min="14599" max="14599" width="12.5703125" style="864" bestFit="1" customWidth="1"/>
    <col min="14600" max="14844" width="11.42578125" style="864"/>
    <col min="14845" max="14845" width="13.140625" style="864" customWidth="1"/>
    <col min="14846" max="14850" width="11.42578125" style="864" customWidth="1"/>
    <col min="14851" max="14851" width="11.42578125" style="864"/>
    <col min="14852" max="14852" width="11.7109375" style="864" bestFit="1" customWidth="1"/>
    <col min="14853" max="14854" width="11.42578125" style="864"/>
    <col min="14855" max="14855" width="12.5703125" style="864" bestFit="1" customWidth="1"/>
    <col min="14856" max="15100" width="11.42578125" style="864"/>
    <col min="15101" max="15101" width="13.140625" style="864" customWidth="1"/>
    <col min="15102" max="15106" width="11.42578125" style="864" customWidth="1"/>
    <col min="15107" max="15107" width="11.42578125" style="864"/>
    <col min="15108" max="15108" width="11.7109375" style="864" bestFit="1" customWidth="1"/>
    <col min="15109" max="15110" width="11.42578125" style="864"/>
    <col min="15111" max="15111" width="12.5703125" style="864" bestFit="1" customWidth="1"/>
    <col min="15112" max="15356" width="11.42578125" style="864"/>
    <col min="15357" max="15357" width="13.140625" style="864" customWidth="1"/>
    <col min="15358" max="15362" width="11.42578125" style="864" customWidth="1"/>
    <col min="15363" max="15363" width="11.42578125" style="864"/>
    <col min="15364" max="15364" width="11.7109375" style="864" bestFit="1" customWidth="1"/>
    <col min="15365" max="15366" width="11.42578125" style="864"/>
    <col min="15367" max="15367" width="12.5703125" style="864" bestFit="1" customWidth="1"/>
    <col min="15368" max="15612" width="11.42578125" style="864"/>
    <col min="15613" max="15613" width="13.140625" style="864" customWidth="1"/>
    <col min="15614" max="15618" width="11.42578125" style="864" customWidth="1"/>
    <col min="15619" max="15619" width="11.42578125" style="864"/>
    <col min="15620" max="15620" width="11.7109375" style="864" bestFit="1" customWidth="1"/>
    <col min="15621" max="15622" width="11.42578125" style="864"/>
    <col min="15623" max="15623" width="12.5703125" style="864" bestFit="1" customWidth="1"/>
    <col min="15624" max="15868" width="11.42578125" style="864"/>
    <col min="15869" max="15869" width="13.140625" style="864" customWidth="1"/>
    <col min="15870" max="15874" width="11.42578125" style="864" customWidth="1"/>
    <col min="15875" max="15875" width="11.42578125" style="864"/>
    <col min="15876" max="15876" width="11.7109375" style="864" bestFit="1" customWidth="1"/>
    <col min="15877" max="15878" width="11.42578125" style="864"/>
    <col min="15879" max="15879" width="12.5703125" style="864" bestFit="1" customWidth="1"/>
    <col min="15880" max="16124" width="11.42578125" style="864"/>
    <col min="16125" max="16125" width="13.140625" style="864" customWidth="1"/>
    <col min="16126" max="16130" width="11.42578125" style="864" customWidth="1"/>
    <col min="16131" max="16131" width="11.42578125" style="864"/>
    <col min="16132" max="16132" width="11.7109375" style="864" bestFit="1" customWidth="1"/>
    <col min="16133" max="16134" width="11.42578125" style="864"/>
    <col min="16135" max="16135" width="12.5703125" style="864" bestFit="1" customWidth="1"/>
    <col min="16136" max="16384" width="11.42578125" style="864"/>
  </cols>
  <sheetData>
    <row r="1" spans="1:8" s="860" customFormat="1" ht="18">
      <c r="A1" s="858" t="s">
        <v>325</v>
      </c>
      <c r="B1" s="859"/>
      <c r="C1" s="859"/>
      <c r="D1" s="859"/>
      <c r="E1" s="859"/>
      <c r="F1" s="859"/>
      <c r="G1" s="859"/>
      <c r="H1" s="859"/>
    </row>
    <row r="2" spans="1:8" s="861" customFormat="1" ht="15">
      <c r="B2" s="862"/>
      <c r="C2" s="862"/>
      <c r="D2" s="862"/>
      <c r="E2" s="862"/>
      <c r="F2" s="862"/>
      <c r="G2" s="862"/>
      <c r="H2" s="862"/>
    </row>
    <row r="3" spans="1:8">
      <c r="A3" s="863"/>
      <c r="E3" s="865"/>
      <c r="F3" s="865"/>
      <c r="G3" s="865"/>
      <c r="H3" s="865"/>
    </row>
    <row r="4" spans="1:8">
      <c r="B4" s="865"/>
      <c r="C4" s="865"/>
      <c r="D4" s="865"/>
      <c r="E4" s="865"/>
      <c r="F4" s="865"/>
      <c r="G4" s="865"/>
      <c r="H4" s="865"/>
    </row>
    <row r="5" spans="1:8" s="868" customFormat="1" ht="30" customHeight="1">
      <c r="A5" s="866" t="s">
        <v>326</v>
      </c>
      <c r="B5" s="867" t="s">
        <v>245</v>
      </c>
      <c r="C5" s="866" t="s">
        <v>247</v>
      </c>
      <c r="D5" s="866" t="s">
        <v>248</v>
      </c>
      <c r="E5" s="866" t="s">
        <v>249</v>
      </c>
      <c r="F5" s="866" t="s">
        <v>250</v>
      </c>
    </row>
    <row r="6" spans="1:8" ht="15" customHeight="1">
      <c r="A6" s="869"/>
      <c r="B6" s="870"/>
      <c r="C6" s="1297">
        <v>11</v>
      </c>
      <c r="D6" s="1297">
        <v>16</v>
      </c>
      <c r="E6" s="1297">
        <v>69</v>
      </c>
      <c r="F6" s="1297">
        <v>13</v>
      </c>
    </row>
    <row r="7" spans="1:8" ht="15" customHeight="1">
      <c r="A7" s="871" t="s">
        <v>327</v>
      </c>
      <c r="B7" s="870">
        <v>19</v>
      </c>
      <c r="C7" s="1298"/>
      <c r="D7" s="1298"/>
      <c r="E7" s="1298"/>
      <c r="F7" s="1298"/>
    </row>
    <row r="8" spans="1:8" ht="15" customHeight="1">
      <c r="A8" s="872" t="s">
        <v>328</v>
      </c>
      <c r="B8" s="873"/>
      <c r="C8" s="1298"/>
      <c r="D8" s="1298"/>
      <c r="E8" s="1298"/>
      <c r="F8" s="1298"/>
    </row>
    <row r="9" spans="1:8" ht="15" customHeight="1">
      <c r="A9" s="869" t="s">
        <v>329</v>
      </c>
      <c r="B9" s="870"/>
      <c r="C9" s="1298"/>
      <c r="D9" s="1298"/>
      <c r="E9" s="1298"/>
      <c r="F9" s="1298"/>
    </row>
    <row r="10" spans="1:8" ht="15" customHeight="1">
      <c r="A10" s="871" t="s">
        <v>22</v>
      </c>
      <c r="B10" s="870">
        <v>86</v>
      </c>
      <c r="C10" s="1298"/>
      <c r="D10" s="1298"/>
      <c r="E10" s="1298"/>
      <c r="F10" s="1298"/>
    </row>
    <row r="11" spans="1:8" ht="15" customHeight="1">
      <c r="A11" s="872" t="s">
        <v>17</v>
      </c>
      <c r="B11" s="873"/>
      <c r="C11" s="1298"/>
      <c r="D11" s="1299"/>
      <c r="E11" s="1299"/>
      <c r="F11" s="1298"/>
    </row>
    <row r="12" spans="1:8" ht="15" customHeight="1">
      <c r="A12" s="869" t="s">
        <v>17</v>
      </c>
      <c r="B12" s="870"/>
      <c r="C12" s="1298"/>
      <c r="D12" s="875"/>
      <c r="E12" s="876"/>
      <c r="F12" s="1298"/>
    </row>
    <row r="13" spans="1:8" ht="15" customHeight="1">
      <c r="A13" s="871" t="s">
        <v>22</v>
      </c>
      <c r="B13" s="870">
        <v>26</v>
      </c>
      <c r="C13" s="1298"/>
      <c r="D13" s="865">
        <v>10</v>
      </c>
      <c r="E13" s="876">
        <v>12</v>
      </c>
      <c r="F13" s="1298"/>
    </row>
    <row r="14" spans="1:8" ht="15" customHeight="1">
      <c r="A14" s="872" t="s">
        <v>176</v>
      </c>
      <c r="B14" s="873"/>
      <c r="C14" s="1299"/>
      <c r="D14" s="877"/>
      <c r="E14" s="878"/>
      <c r="F14" s="1299"/>
    </row>
    <row r="15" spans="1:8" ht="15" customHeight="1">
      <c r="A15" s="869" t="s">
        <v>180</v>
      </c>
      <c r="B15" s="870"/>
      <c r="C15" s="879"/>
      <c r="D15" s="876"/>
      <c r="E15" s="876"/>
      <c r="F15" s="879"/>
    </row>
    <row r="16" spans="1:8" ht="15" customHeight="1">
      <c r="A16" s="871" t="s">
        <v>22</v>
      </c>
      <c r="B16" s="870">
        <v>24</v>
      </c>
      <c r="C16" s="879">
        <v>3</v>
      </c>
      <c r="D16" s="880">
        <v>5</v>
      </c>
      <c r="E16" s="876">
        <v>12</v>
      </c>
      <c r="F16" s="879">
        <v>4</v>
      </c>
    </row>
    <row r="17" spans="1:6" ht="15" customHeight="1">
      <c r="A17" s="872" t="s">
        <v>27</v>
      </c>
      <c r="B17" s="873"/>
      <c r="C17" s="881"/>
      <c r="D17" s="877"/>
      <c r="E17" s="877"/>
      <c r="F17" s="881"/>
    </row>
    <row r="18" spans="1:6" ht="15" customHeight="1">
      <c r="A18" s="869" t="s">
        <v>27</v>
      </c>
      <c r="B18" s="870"/>
      <c r="C18" s="876"/>
      <c r="D18" s="882"/>
      <c r="E18" s="876"/>
      <c r="F18" s="879"/>
    </row>
    <row r="19" spans="1:6" ht="15" customHeight="1">
      <c r="A19" s="871" t="s">
        <v>22</v>
      </c>
      <c r="B19" s="870">
        <v>19</v>
      </c>
      <c r="C19" s="876">
        <v>0</v>
      </c>
      <c r="D19" s="879">
        <v>5</v>
      </c>
      <c r="E19" s="876">
        <v>10</v>
      </c>
      <c r="F19" s="879">
        <v>4</v>
      </c>
    </row>
    <row r="20" spans="1:6" ht="15" customHeight="1">
      <c r="A20" s="872" t="s">
        <v>28</v>
      </c>
      <c r="B20" s="873"/>
      <c r="C20" s="877"/>
      <c r="D20" s="881"/>
      <c r="E20" s="877"/>
      <c r="F20" s="881"/>
    </row>
    <row r="21" spans="1:6" ht="15" customHeight="1">
      <c r="A21" s="869" t="s">
        <v>28</v>
      </c>
      <c r="B21" s="870"/>
      <c r="C21" s="1297">
        <v>10</v>
      </c>
      <c r="D21" s="879"/>
      <c r="E21" s="876"/>
      <c r="F21" s="1297">
        <v>8</v>
      </c>
    </row>
    <row r="22" spans="1:6" ht="15" customHeight="1">
      <c r="A22" s="871" t="s">
        <v>22</v>
      </c>
      <c r="B22" s="870">
        <v>16</v>
      </c>
      <c r="C22" s="1298"/>
      <c r="D22" s="879">
        <v>6</v>
      </c>
      <c r="E22" s="876">
        <v>6</v>
      </c>
      <c r="F22" s="1298"/>
    </row>
    <row r="23" spans="1:6" ht="15" customHeight="1">
      <c r="A23" s="872" t="s">
        <v>23</v>
      </c>
      <c r="B23" s="873"/>
      <c r="C23" s="1298"/>
      <c r="D23" s="881"/>
      <c r="E23" s="876"/>
      <c r="F23" s="1298"/>
    </row>
    <row r="24" spans="1:6" ht="15" customHeight="1">
      <c r="A24" s="869" t="s">
        <v>23</v>
      </c>
      <c r="B24" s="870"/>
      <c r="C24" s="1298"/>
      <c r="D24" s="882"/>
      <c r="E24" s="882"/>
      <c r="F24" s="1298"/>
    </row>
    <row r="25" spans="1:6" ht="15" customHeight="1">
      <c r="A25" s="871" t="s">
        <v>22</v>
      </c>
      <c r="B25" s="870">
        <v>16</v>
      </c>
      <c r="C25" s="1298"/>
      <c r="D25" s="879">
        <v>3</v>
      </c>
      <c r="E25" s="879">
        <v>4</v>
      </c>
      <c r="F25" s="1298"/>
    </row>
    <row r="26" spans="1:6" ht="15" customHeight="1">
      <c r="A26" s="872" t="s">
        <v>193</v>
      </c>
      <c r="B26" s="873"/>
      <c r="C26" s="1298"/>
      <c r="D26" s="881"/>
      <c r="E26" s="881"/>
      <c r="F26" s="1298"/>
    </row>
    <row r="27" spans="1:6" ht="15" customHeight="1">
      <c r="A27" s="869" t="s">
        <v>193</v>
      </c>
      <c r="B27" s="870"/>
      <c r="C27" s="1298"/>
      <c r="D27" s="879"/>
      <c r="E27" s="879"/>
      <c r="F27" s="1298"/>
    </row>
    <row r="28" spans="1:6" ht="15" customHeight="1">
      <c r="A28" s="871" t="s">
        <v>29</v>
      </c>
      <c r="B28" s="870">
        <v>12</v>
      </c>
      <c r="C28" s="1298"/>
      <c r="D28" s="879">
        <v>4</v>
      </c>
      <c r="E28" s="879">
        <v>3</v>
      </c>
      <c r="F28" s="1298"/>
    </row>
    <row r="29" spans="1:6" ht="15" customHeight="1">
      <c r="A29" s="872"/>
      <c r="B29" s="873"/>
      <c r="C29" s="1299"/>
      <c r="D29" s="881"/>
      <c r="E29" s="881"/>
      <c r="F29" s="1299"/>
    </row>
    <row r="30" spans="1:6" s="886" customFormat="1" ht="15" customHeight="1">
      <c r="A30" s="883"/>
      <c r="B30" s="870"/>
      <c r="C30" s="884"/>
      <c r="D30" s="884"/>
      <c r="E30" s="885"/>
      <c r="F30" s="885"/>
    </row>
    <row r="31" spans="1:6" ht="15" customHeight="1">
      <c r="A31" s="883" t="s">
        <v>330</v>
      </c>
      <c r="B31" s="870">
        <f>B7+B10+B13+B16+B19+B22+B25+B28</f>
        <v>218</v>
      </c>
      <c r="C31" s="885">
        <f>SUM(C6:C29)</f>
        <v>24</v>
      </c>
      <c r="D31" s="885">
        <f>SUM(D6:D29)</f>
        <v>49</v>
      </c>
      <c r="E31" s="885">
        <f>SUM(E6:E29)</f>
        <v>116</v>
      </c>
      <c r="F31" s="885">
        <f>SUM(F6:F29)</f>
        <v>29</v>
      </c>
    </row>
    <row r="32" spans="1:6" ht="15" customHeight="1">
      <c r="A32" s="883"/>
      <c r="B32" s="887"/>
      <c r="C32" s="888"/>
      <c r="D32" s="888"/>
      <c r="E32" s="888"/>
      <c r="F32" s="888"/>
    </row>
    <row r="33" spans="1:8" s="886" customFormat="1">
      <c r="A33" s="1294" t="s">
        <v>331</v>
      </c>
      <c r="B33" s="889"/>
      <c r="C33" s="890"/>
      <c r="D33" s="891"/>
      <c r="E33" s="891"/>
      <c r="F33" s="892"/>
    </row>
    <row r="34" spans="1:8" s="868" customFormat="1" ht="30" customHeight="1">
      <c r="A34" s="1295"/>
      <c r="B34" s="893">
        <v>2</v>
      </c>
      <c r="C34" s="890"/>
      <c r="D34" s="891"/>
      <c r="E34" s="891"/>
      <c r="F34" s="892"/>
    </row>
    <row r="35" spans="1:8" ht="15" customHeight="1">
      <c r="A35" s="1296"/>
      <c r="B35" s="894"/>
      <c r="C35" s="895"/>
      <c r="D35" s="896"/>
      <c r="E35" s="896"/>
      <c r="F35" s="897"/>
    </row>
    <row r="36" spans="1:8" ht="15" customHeight="1">
      <c r="A36" s="898" t="s">
        <v>332</v>
      </c>
      <c r="B36" s="899">
        <v>252</v>
      </c>
      <c r="C36" s="876">
        <v>24</v>
      </c>
      <c r="D36" s="876">
        <v>53</v>
      </c>
      <c r="E36" s="876">
        <v>135</v>
      </c>
      <c r="F36" s="876">
        <v>40</v>
      </c>
    </row>
    <row r="37" spans="1:8" ht="15" customHeight="1">
      <c r="A37" s="883"/>
      <c r="B37" s="870"/>
      <c r="C37" s="885"/>
      <c r="D37" s="885"/>
      <c r="E37" s="885"/>
      <c r="F37" s="900"/>
    </row>
    <row r="38" spans="1:8" ht="15" customHeight="1">
      <c r="A38" s="901" t="s">
        <v>333</v>
      </c>
      <c r="B38" s="873">
        <f>B31-B36</f>
        <v>-34</v>
      </c>
      <c r="C38" s="888">
        <f>C31-C36</f>
        <v>0</v>
      </c>
      <c r="D38" s="888">
        <f>D31-D36</f>
        <v>-4</v>
      </c>
      <c r="E38" s="888">
        <f>E31-E36</f>
        <v>-19</v>
      </c>
      <c r="F38" s="888">
        <f>F31-F36</f>
        <v>-11</v>
      </c>
    </row>
    <row r="39" spans="1:8" ht="15" customHeight="1">
      <c r="A39" s="874"/>
      <c r="B39" s="874"/>
    </row>
    <row r="40" spans="1:8" ht="15" customHeight="1">
      <c r="A40" s="874"/>
      <c r="B40" s="874"/>
    </row>
    <row r="41" spans="1:8" ht="15" customHeight="1">
      <c r="A41" s="874"/>
      <c r="B41" s="874"/>
    </row>
    <row r="42" spans="1:8" ht="15" customHeight="1">
      <c r="A42" s="858" t="s">
        <v>334</v>
      </c>
      <c r="B42" s="860"/>
      <c r="C42" s="859"/>
      <c r="D42" s="859"/>
      <c r="E42" s="859"/>
      <c r="F42" s="859"/>
      <c r="G42" s="859"/>
    </row>
    <row r="43" spans="1:8" ht="15" customHeight="1">
      <c r="C43" s="863"/>
      <c r="D43" s="865"/>
      <c r="E43" s="865"/>
      <c r="F43" s="865"/>
      <c r="G43" s="865"/>
    </row>
    <row r="44" spans="1:8" ht="15" customHeight="1">
      <c r="A44" s="886"/>
      <c r="B44" s="886"/>
      <c r="C44" s="902"/>
      <c r="D44" s="902"/>
      <c r="E44" s="902"/>
      <c r="F44" s="902"/>
      <c r="G44" s="902"/>
    </row>
    <row r="45" spans="1:8" ht="15" customHeight="1">
      <c r="A45" s="866" t="s">
        <v>326</v>
      </c>
      <c r="B45" s="866" t="s">
        <v>335</v>
      </c>
      <c r="C45" s="867" t="s">
        <v>245</v>
      </c>
      <c r="D45" s="866" t="s">
        <v>247</v>
      </c>
      <c r="E45" s="866" t="s">
        <v>248</v>
      </c>
      <c r="F45" s="866" t="s">
        <v>249</v>
      </c>
      <c r="G45" s="866" t="s">
        <v>250</v>
      </c>
    </row>
    <row r="46" spans="1:8" ht="15" customHeight="1">
      <c r="A46" s="869"/>
      <c r="B46" s="903" t="s">
        <v>9</v>
      </c>
      <c r="C46" s="904">
        <v>6779</v>
      </c>
      <c r="D46" s="905">
        <f>[4]Tabelle_1_2!$E$9+[4]Tabelle_1_2!$E$10+[4]Tabelle_1_2!$E$11</f>
        <v>30456</v>
      </c>
      <c r="E46" s="905">
        <f>[4]Tabelle_1_2!$J$9+[4]Tabelle_1_2!$J$10</f>
        <v>13362</v>
      </c>
      <c r="F46" s="905">
        <f>[4]Tabelle_1_2!$O$9+[4]Tabelle_1_2!$O$10</f>
        <v>111724</v>
      </c>
      <c r="G46" s="905">
        <f>[4]Tabelle_1_2!$T$10+[4]Tabelle_1_2!$T$11</f>
        <v>19339</v>
      </c>
      <c r="H46" s="906"/>
    </row>
    <row r="47" spans="1:8" ht="15" customHeight="1">
      <c r="A47" s="871" t="s">
        <v>327</v>
      </c>
      <c r="B47" s="907" t="s">
        <v>10</v>
      </c>
      <c r="C47" s="904">
        <v>1783</v>
      </c>
      <c r="D47" s="908">
        <f>[4]Tabelle_1_2!$F$9+[4]Tabelle_1_2!$F$10+[4]Tabelle_1_2!$F$11</f>
        <v>10746</v>
      </c>
      <c r="E47" s="908">
        <f>[4]Tabelle_1_2!$K$9+[4]Tabelle_1_2!$K$10</f>
        <v>22731</v>
      </c>
      <c r="F47" s="908">
        <f>[4]Tabelle_1_2!$P$9+[4]Tabelle_1_2!$P$10</f>
        <v>20171</v>
      </c>
      <c r="G47" s="908">
        <f>[4]Tabelle_1_2!$U$10+[4]Tabelle_1_2!$U$11</f>
        <v>14392</v>
      </c>
      <c r="H47" s="906"/>
    </row>
    <row r="48" spans="1:8" ht="15" customHeight="1">
      <c r="A48" s="872" t="s">
        <v>328</v>
      </c>
      <c r="B48" s="909" t="s">
        <v>177</v>
      </c>
      <c r="C48" s="910">
        <f>SUM(C46:C47)</f>
        <v>8562</v>
      </c>
      <c r="D48" s="908">
        <f>SUM(D46:D47)</f>
        <v>41202</v>
      </c>
      <c r="E48" s="908">
        <f>SUM(E46:E47)</f>
        <v>36093</v>
      </c>
      <c r="F48" s="908">
        <f>SUM(F46:F47)</f>
        <v>131895</v>
      </c>
      <c r="G48" s="908">
        <f>SUM(G46:G47)</f>
        <v>33731</v>
      </c>
      <c r="H48" s="906"/>
    </row>
    <row r="49" spans="1:7" ht="15" customHeight="1">
      <c r="A49" s="869" t="s">
        <v>329</v>
      </c>
      <c r="B49" s="903" t="s">
        <v>9</v>
      </c>
      <c r="C49" s="904">
        <v>145291</v>
      </c>
      <c r="D49" s="908"/>
      <c r="E49" s="908"/>
      <c r="F49" s="908"/>
      <c r="G49" s="908"/>
    </row>
    <row r="50" spans="1:7" ht="15" customHeight="1">
      <c r="A50" s="871" t="s">
        <v>22</v>
      </c>
      <c r="B50" s="907" t="s">
        <v>10</v>
      </c>
      <c r="C50" s="904">
        <v>59799</v>
      </c>
      <c r="D50" s="908"/>
      <c r="E50" s="908"/>
      <c r="F50" s="908"/>
      <c r="G50" s="908"/>
    </row>
    <row r="51" spans="1:7" ht="15" customHeight="1">
      <c r="A51" s="872" t="s">
        <v>17</v>
      </c>
      <c r="B51" s="909" t="s">
        <v>177</v>
      </c>
      <c r="C51" s="910">
        <f>SUM(C49:C50)</f>
        <v>205090</v>
      </c>
      <c r="D51" s="908"/>
      <c r="E51" s="911"/>
      <c r="F51" s="911"/>
      <c r="G51" s="908"/>
    </row>
    <row r="52" spans="1:7" ht="15" customHeight="1">
      <c r="A52" s="869" t="s">
        <v>17</v>
      </c>
      <c r="B52" s="903" t="s">
        <v>9</v>
      </c>
      <c r="C52" s="904">
        <v>137170</v>
      </c>
      <c r="D52" s="908"/>
      <c r="E52" s="912">
        <v>32704</v>
      </c>
      <c r="F52" s="913">
        <v>81655</v>
      </c>
      <c r="G52" s="908"/>
    </row>
    <row r="53" spans="1:7" ht="15" customHeight="1">
      <c r="A53" s="871" t="s">
        <v>22</v>
      </c>
      <c r="B53" s="907" t="s">
        <v>10</v>
      </c>
      <c r="C53" s="904">
        <v>45719</v>
      </c>
      <c r="D53" s="908"/>
      <c r="E53" s="914">
        <v>26384</v>
      </c>
      <c r="F53" s="913">
        <v>12877</v>
      </c>
      <c r="G53" s="908"/>
    </row>
    <row r="54" spans="1:7" ht="15" customHeight="1">
      <c r="A54" s="872" t="s">
        <v>176</v>
      </c>
      <c r="B54" s="909" t="s">
        <v>177</v>
      </c>
      <c r="C54" s="910">
        <f>SUM(C52:C53)</f>
        <v>182889</v>
      </c>
      <c r="D54" s="911"/>
      <c r="E54" s="915">
        <f>SUM(E52:E53)</f>
        <v>59088</v>
      </c>
      <c r="F54" s="916">
        <f>SUM(F52:F53)</f>
        <v>94532</v>
      </c>
      <c r="G54" s="911"/>
    </row>
    <row r="55" spans="1:7" ht="15" customHeight="1">
      <c r="A55" s="869" t="s">
        <v>180</v>
      </c>
      <c r="B55" s="903" t="s">
        <v>9</v>
      </c>
      <c r="C55" s="904">
        <v>276064</v>
      </c>
      <c r="D55" s="908">
        <v>17749</v>
      </c>
      <c r="E55" s="913">
        <v>79030</v>
      </c>
      <c r="F55" s="913">
        <v>139994</v>
      </c>
      <c r="G55" s="908">
        <v>39291</v>
      </c>
    </row>
    <row r="56" spans="1:7" ht="15" customHeight="1">
      <c r="A56" s="871" t="s">
        <v>22</v>
      </c>
      <c r="B56" s="907" t="s">
        <v>10</v>
      </c>
      <c r="C56" s="904">
        <v>79768</v>
      </c>
      <c r="D56" s="908">
        <v>31021</v>
      </c>
      <c r="E56" s="917">
        <v>12131</v>
      </c>
      <c r="F56" s="913">
        <v>27929</v>
      </c>
      <c r="G56" s="908">
        <v>8687</v>
      </c>
    </row>
    <row r="57" spans="1:7" ht="15" customHeight="1">
      <c r="A57" s="872" t="s">
        <v>27</v>
      </c>
      <c r="B57" s="909" t="s">
        <v>177</v>
      </c>
      <c r="C57" s="910">
        <f>SUM(C55:C56)</f>
        <v>355832</v>
      </c>
      <c r="D57" s="911">
        <f>SUM(D55:D56)</f>
        <v>48770</v>
      </c>
      <c r="E57" s="915">
        <f>SUM(E55:E56)</f>
        <v>91161</v>
      </c>
      <c r="F57" s="915">
        <f>SUM(F55:F56)</f>
        <v>167923</v>
      </c>
      <c r="G57" s="911">
        <f>SUM(G55:G56)</f>
        <v>47978</v>
      </c>
    </row>
    <row r="58" spans="1:7" ht="15" customHeight="1">
      <c r="A58" s="869" t="s">
        <v>27</v>
      </c>
      <c r="B58" s="903" t="s">
        <v>9</v>
      </c>
      <c r="C58" s="904">
        <v>505152</v>
      </c>
      <c r="D58" s="913">
        <v>0</v>
      </c>
      <c r="E58" s="905">
        <v>137526</v>
      </c>
      <c r="F58" s="913">
        <v>265542</v>
      </c>
      <c r="G58" s="908">
        <v>102084</v>
      </c>
    </row>
    <row r="59" spans="1:7" ht="15" customHeight="1">
      <c r="A59" s="871" t="s">
        <v>22</v>
      </c>
      <c r="B59" s="907" t="s">
        <v>10</v>
      </c>
      <c r="C59" s="904">
        <v>76233</v>
      </c>
      <c r="D59" s="913">
        <v>0</v>
      </c>
      <c r="E59" s="908">
        <v>24871</v>
      </c>
      <c r="F59" s="913">
        <v>41981</v>
      </c>
      <c r="G59" s="908">
        <v>9381</v>
      </c>
    </row>
    <row r="60" spans="1:7" ht="15" customHeight="1">
      <c r="A60" s="872" t="s">
        <v>28</v>
      </c>
      <c r="B60" s="909" t="s">
        <v>177</v>
      </c>
      <c r="C60" s="910">
        <f>SUM(C58:C59)</f>
        <v>581385</v>
      </c>
      <c r="D60" s="915">
        <v>0</v>
      </c>
      <c r="E60" s="911">
        <f>SUM(E58:E59)</f>
        <v>162397</v>
      </c>
      <c r="F60" s="915">
        <f>SUM(F58:F59)</f>
        <v>307523</v>
      </c>
      <c r="G60" s="911">
        <f>SUM(G58:G59)</f>
        <v>111465</v>
      </c>
    </row>
    <row r="61" spans="1:7">
      <c r="A61" s="869" t="s">
        <v>28</v>
      </c>
      <c r="B61" s="903" t="s">
        <v>9</v>
      </c>
      <c r="C61" s="904">
        <v>935603</v>
      </c>
      <c r="D61" s="905">
        <f>[4]Tabelle_1_2!$E$14+[4]Tabelle_1_2!$E$15+[4]Tabelle_1_2!$E$16</f>
        <v>1557816</v>
      </c>
      <c r="E61" s="908">
        <v>406961</v>
      </c>
      <c r="F61" s="913">
        <v>369637</v>
      </c>
      <c r="G61" s="905">
        <f>[4]Tabelle_1_2!$T$14+[4]Tabelle_1_2!$T$15+[4]Tabelle_1_2!$T$16</f>
        <v>1257755</v>
      </c>
    </row>
    <row r="62" spans="1:7">
      <c r="A62" s="871" t="s">
        <v>22</v>
      </c>
      <c r="B62" s="907" t="s">
        <v>10</v>
      </c>
      <c r="C62" s="904">
        <v>199007</v>
      </c>
      <c r="D62" s="908">
        <f>[4]Tabelle_1_2!$F$14+[4]Tabelle_1_2!$F$15+[4]Tabelle_1_2!$F$16</f>
        <v>146311</v>
      </c>
      <c r="E62" s="908">
        <v>90275</v>
      </c>
      <c r="F62" s="913">
        <v>35065</v>
      </c>
      <c r="G62" s="908">
        <f>[4]Tabelle_1_2!$U$14+[4]Tabelle_1_2!$U$15+[4]Tabelle_1_2!$U$16</f>
        <v>119292</v>
      </c>
    </row>
    <row r="63" spans="1:7">
      <c r="A63" s="872" t="s">
        <v>23</v>
      </c>
      <c r="B63" s="909" t="s">
        <v>177</v>
      </c>
      <c r="C63" s="910">
        <f>SUM(C61:C62)</f>
        <v>1134610</v>
      </c>
      <c r="D63" s="908">
        <f>SUM(D61:D62)</f>
        <v>1704127</v>
      </c>
      <c r="E63" s="911">
        <f>SUM(E61:E62)</f>
        <v>497236</v>
      </c>
      <c r="F63" s="913">
        <f>SUM(F61:F62)</f>
        <v>404702</v>
      </c>
      <c r="G63" s="908">
        <f>SUM(G61:G62)</f>
        <v>1377047</v>
      </c>
    </row>
    <row r="64" spans="1:7">
      <c r="A64" s="869" t="s">
        <v>23</v>
      </c>
      <c r="B64" s="903" t="s">
        <v>9</v>
      </c>
      <c r="C64" s="904">
        <v>1974064</v>
      </c>
      <c r="D64" s="908"/>
      <c r="E64" s="905">
        <v>383024</v>
      </c>
      <c r="F64" s="905">
        <v>347890</v>
      </c>
      <c r="G64" s="908"/>
    </row>
    <row r="65" spans="1:7">
      <c r="A65" s="871" t="s">
        <v>22</v>
      </c>
      <c r="B65" s="907" t="s">
        <v>10</v>
      </c>
      <c r="C65" s="904">
        <v>119108</v>
      </c>
      <c r="D65" s="908"/>
      <c r="E65" s="908">
        <v>16875</v>
      </c>
      <c r="F65" s="908">
        <v>29244</v>
      </c>
      <c r="G65" s="908"/>
    </row>
    <row r="66" spans="1:7">
      <c r="A66" s="872" t="s">
        <v>193</v>
      </c>
      <c r="B66" s="909" t="s">
        <v>177</v>
      </c>
      <c r="C66" s="910">
        <f>SUM(C64:C65)</f>
        <v>2093172</v>
      </c>
      <c r="D66" s="908"/>
      <c r="E66" s="911">
        <f>SUM(E64:E65)</f>
        <v>399899</v>
      </c>
      <c r="F66" s="911">
        <f>SUM(F64:F65)</f>
        <v>377134</v>
      </c>
      <c r="G66" s="908"/>
    </row>
    <row r="67" spans="1:7">
      <c r="A67" s="869" t="s">
        <v>193</v>
      </c>
      <c r="B67" s="918" t="s">
        <v>9</v>
      </c>
      <c r="C67" s="904">
        <v>3246869</v>
      </c>
      <c r="D67" s="908"/>
      <c r="E67" s="908">
        <v>1253453</v>
      </c>
      <c r="F67" s="908">
        <v>580000</v>
      </c>
      <c r="G67" s="908"/>
    </row>
    <row r="68" spans="1:7">
      <c r="A68" s="871" t="s">
        <v>29</v>
      </c>
      <c r="B68" s="919" t="s">
        <v>10</v>
      </c>
      <c r="C68" s="904">
        <v>224066</v>
      </c>
      <c r="D68" s="908"/>
      <c r="E68" s="908">
        <v>56493</v>
      </c>
      <c r="F68" s="908">
        <v>48626</v>
      </c>
      <c r="G68" s="908"/>
    </row>
    <row r="69" spans="1:7">
      <c r="A69" s="872"/>
      <c r="B69" s="920" t="s">
        <v>177</v>
      </c>
      <c r="C69" s="910">
        <f>SUM(C67:C68)</f>
        <v>3470935</v>
      </c>
      <c r="D69" s="911"/>
      <c r="E69" s="911">
        <f>SUM(E67:E68)</f>
        <v>1309946</v>
      </c>
      <c r="F69" s="911">
        <f>SUM(F67:F68)</f>
        <v>628626</v>
      </c>
      <c r="G69" s="911"/>
    </row>
    <row r="70" spans="1:7">
      <c r="A70" s="921"/>
      <c r="B70" s="918" t="s">
        <v>9</v>
      </c>
      <c r="C70" s="922">
        <f>SUM(C46,C49,C52,C55,C58,C61,C64,C67)</f>
        <v>7226992</v>
      </c>
      <c r="D70" s="923">
        <f>SUM(D46,D55,D61)</f>
        <v>1606021</v>
      </c>
      <c r="E70" s="923">
        <f>SUM(E46,E52,E55,E58,E61,E64,E67)</f>
        <v>2306060</v>
      </c>
      <c r="F70" s="923">
        <f>SUM(F46,F52,F55,F58,F61,F64,F67)</f>
        <v>1896442</v>
      </c>
      <c r="G70" s="923">
        <v>1418469</v>
      </c>
    </row>
    <row r="71" spans="1:7">
      <c r="A71" s="883" t="s">
        <v>330</v>
      </c>
      <c r="B71" s="919" t="s">
        <v>10</v>
      </c>
      <c r="C71" s="924">
        <f>SUM(C47,C50,C53,C56,C59,C62,C65,C68)</f>
        <v>805483</v>
      </c>
      <c r="D71" s="925">
        <f>SUM(D47,D56,D62)</f>
        <v>188078</v>
      </c>
      <c r="E71" s="925">
        <f>SUM(E47,E53,E56,E59,E62,E65,E68)</f>
        <v>249760</v>
      </c>
      <c r="F71" s="925">
        <f>SUM(F47,F53,F56,F59,F62,F65,F68)</f>
        <v>215893</v>
      </c>
      <c r="G71" s="925">
        <v>151752</v>
      </c>
    </row>
    <row r="72" spans="1:7">
      <c r="A72" s="901"/>
      <c r="B72" s="920" t="s">
        <v>177</v>
      </c>
      <c r="C72" s="926">
        <f>SUM(C48,C51,C54,C57,C60,C63,C66,C69)</f>
        <v>8032475</v>
      </c>
      <c r="D72" s="927">
        <f>SUM(D70:D71)</f>
        <v>1794099</v>
      </c>
      <c r="E72" s="927">
        <f>SUM(E70:E71)</f>
        <v>2555820</v>
      </c>
      <c r="F72" s="927">
        <f>SUM(F70:F71)</f>
        <v>2112335</v>
      </c>
      <c r="G72" s="927">
        <f>SUM(G70:G71)</f>
        <v>1570221</v>
      </c>
    </row>
    <row r="73" spans="1:7">
      <c r="A73" s="928" t="s">
        <v>336</v>
      </c>
      <c r="B73" s="903"/>
      <c r="C73" s="929">
        <v>218</v>
      </c>
      <c r="D73" s="930">
        <v>24</v>
      </c>
      <c r="E73" s="930">
        <v>49</v>
      </c>
      <c r="F73" s="930">
        <v>116</v>
      </c>
      <c r="G73" s="930">
        <v>29</v>
      </c>
    </row>
    <row r="74" spans="1:7">
      <c r="A74" s="931"/>
      <c r="B74" s="907"/>
      <c r="C74" s="932"/>
      <c r="D74" s="933"/>
      <c r="E74" s="933"/>
      <c r="F74" s="933"/>
      <c r="G74" s="933"/>
    </row>
    <row r="75" spans="1:7">
      <c r="A75" s="934" t="s">
        <v>337</v>
      </c>
      <c r="B75" s="909"/>
      <c r="C75" s="935">
        <v>36846.215596330272</v>
      </c>
      <c r="D75" s="935">
        <v>74754.125</v>
      </c>
      <c r="E75" s="935">
        <v>52159.591836734697</v>
      </c>
      <c r="F75" s="935">
        <v>18209.78448275862</v>
      </c>
      <c r="G75" s="935">
        <v>54145.551724137928</v>
      </c>
    </row>
  </sheetData>
  <mergeCells count="7">
    <mergeCell ref="A33:A35"/>
    <mergeCell ref="C6:C14"/>
    <mergeCell ref="D6:D11"/>
    <mergeCell ref="E6:E11"/>
    <mergeCell ref="F6:F14"/>
    <mergeCell ref="C21:C29"/>
    <mergeCell ref="F21:F29"/>
  </mergeCells>
  <pageMargins left="0.78740157480314965" right="0.78740157480314965" top="0.98425196850393704" bottom="0.98425196850393704" header="0.51181102362204722" footer="0.51181102362204722"/>
  <pageSetup paperSize="9" scale="92" fitToHeight="2" orientation="portrait" horizontalDpi="4294967292" verticalDpi="4294967292" r:id="rId1"/>
  <headerFooter alignWithMargins="0">
    <oddHeader>&amp;LBundesanstalt für Landwirtschaft
und Ernährung Ref. 423&amp;CStruktur der Mühlenwirtschaft WJ 2012/13</oddHeader>
    <oddFooter>&amp;L&amp;A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C7" sqref="C7:C11"/>
    </sheetView>
  </sheetViews>
  <sheetFormatPr baseColWidth="10" defaultRowHeight="12.75"/>
  <cols>
    <col min="1" max="1" width="9.5703125" style="937" customWidth="1"/>
    <col min="2" max="2" width="14.140625" style="937" customWidth="1"/>
    <col min="3" max="14" width="8.28515625" style="937" customWidth="1"/>
    <col min="15" max="256" width="11.42578125" style="937"/>
    <col min="257" max="257" width="9.5703125" style="937" customWidth="1"/>
    <col min="258" max="258" width="14.140625" style="937" customWidth="1"/>
    <col min="259" max="270" width="8.28515625" style="937" customWidth="1"/>
    <col min="271" max="512" width="11.42578125" style="937"/>
    <col min="513" max="513" width="9.5703125" style="937" customWidth="1"/>
    <col min="514" max="514" width="14.140625" style="937" customWidth="1"/>
    <col min="515" max="526" width="8.28515625" style="937" customWidth="1"/>
    <col min="527" max="768" width="11.42578125" style="937"/>
    <col min="769" max="769" width="9.5703125" style="937" customWidth="1"/>
    <col min="770" max="770" width="14.140625" style="937" customWidth="1"/>
    <col min="771" max="782" width="8.28515625" style="937" customWidth="1"/>
    <col min="783" max="1024" width="11.42578125" style="937"/>
    <col min="1025" max="1025" width="9.5703125" style="937" customWidth="1"/>
    <col min="1026" max="1026" width="14.140625" style="937" customWidth="1"/>
    <col min="1027" max="1038" width="8.28515625" style="937" customWidth="1"/>
    <col min="1039" max="1280" width="11.42578125" style="937"/>
    <col min="1281" max="1281" width="9.5703125" style="937" customWidth="1"/>
    <col min="1282" max="1282" width="14.140625" style="937" customWidth="1"/>
    <col min="1283" max="1294" width="8.28515625" style="937" customWidth="1"/>
    <col min="1295" max="1536" width="11.42578125" style="937"/>
    <col min="1537" max="1537" width="9.5703125" style="937" customWidth="1"/>
    <col min="1538" max="1538" width="14.140625" style="937" customWidth="1"/>
    <col min="1539" max="1550" width="8.28515625" style="937" customWidth="1"/>
    <col min="1551" max="1792" width="11.42578125" style="937"/>
    <col min="1793" max="1793" width="9.5703125" style="937" customWidth="1"/>
    <col min="1794" max="1794" width="14.140625" style="937" customWidth="1"/>
    <col min="1795" max="1806" width="8.28515625" style="937" customWidth="1"/>
    <col min="1807" max="2048" width="11.42578125" style="937"/>
    <col min="2049" max="2049" width="9.5703125" style="937" customWidth="1"/>
    <col min="2050" max="2050" width="14.140625" style="937" customWidth="1"/>
    <col min="2051" max="2062" width="8.28515625" style="937" customWidth="1"/>
    <col min="2063" max="2304" width="11.42578125" style="937"/>
    <col min="2305" max="2305" width="9.5703125" style="937" customWidth="1"/>
    <col min="2306" max="2306" width="14.140625" style="937" customWidth="1"/>
    <col min="2307" max="2318" width="8.28515625" style="937" customWidth="1"/>
    <col min="2319" max="2560" width="11.42578125" style="937"/>
    <col min="2561" max="2561" width="9.5703125" style="937" customWidth="1"/>
    <col min="2562" max="2562" width="14.140625" style="937" customWidth="1"/>
    <col min="2563" max="2574" width="8.28515625" style="937" customWidth="1"/>
    <col min="2575" max="2816" width="11.42578125" style="937"/>
    <col min="2817" max="2817" width="9.5703125" style="937" customWidth="1"/>
    <col min="2818" max="2818" width="14.140625" style="937" customWidth="1"/>
    <col min="2819" max="2830" width="8.28515625" style="937" customWidth="1"/>
    <col min="2831" max="3072" width="11.42578125" style="937"/>
    <col min="3073" max="3073" width="9.5703125" style="937" customWidth="1"/>
    <col min="3074" max="3074" width="14.140625" style="937" customWidth="1"/>
    <col min="3075" max="3086" width="8.28515625" style="937" customWidth="1"/>
    <col min="3087" max="3328" width="11.42578125" style="937"/>
    <col min="3329" max="3329" width="9.5703125" style="937" customWidth="1"/>
    <col min="3330" max="3330" width="14.140625" style="937" customWidth="1"/>
    <col min="3331" max="3342" width="8.28515625" style="937" customWidth="1"/>
    <col min="3343" max="3584" width="11.42578125" style="937"/>
    <col min="3585" max="3585" width="9.5703125" style="937" customWidth="1"/>
    <col min="3586" max="3586" width="14.140625" style="937" customWidth="1"/>
    <col min="3587" max="3598" width="8.28515625" style="937" customWidth="1"/>
    <col min="3599" max="3840" width="11.42578125" style="937"/>
    <col min="3841" max="3841" width="9.5703125" style="937" customWidth="1"/>
    <col min="3842" max="3842" width="14.140625" style="937" customWidth="1"/>
    <col min="3843" max="3854" width="8.28515625" style="937" customWidth="1"/>
    <col min="3855" max="4096" width="11.42578125" style="937"/>
    <col min="4097" max="4097" width="9.5703125" style="937" customWidth="1"/>
    <col min="4098" max="4098" width="14.140625" style="937" customWidth="1"/>
    <col min="4099" max="4110" width="8.28515625" style="937" customWidth="1"/>
    <col min="4111" max="4352" width="11.42578125" style="937"/>
    <col min="4353" max="4353" width="9.5703125" style="937" customWidth="1"/>
    <col min="4354" max="4354" width="14.140625" style="937" customWidth="1"/>
    <col min="4355" max="4366" width="8.28515625" style="937" customWidth="1"/>
    <col min="4367" max="4608" width="11.42578125" style="937"/>
    <col min="4609" max="4609" width="9.5703125" style="937" customWidth="1"/>
    <col min="4610" max="4610" width="14.140625" style="937" customWidth="1"/>
    <col min="4611" max="4622" width="8.28515625" style="937" customWidth="1"/>
    <col min="4623" max="4864" width="11.42578125" style="937"/>
    <col min="4865" max="4865" width="9.5703125" style="937" customWidth="1"/>
    <col min="4866" max="4866" width="14.140625" style="937" customWidth="1"/>
    <col min="4867" max="4878" width="8.28515625" style="937" customWidth="1"/>
    <col min="4879" max="5120" width="11.42578125" style="937"/>
    <col min="5121" max="5121" width="9.5703125" style="937" customWidth="1"/>
    <col min="5122" max="5122" width="14.140625" style="937" customWidth="1"/>
    <col min="5123" max="5134" width="8.28515625" style="937" customWidth="1"/>
    <col min="5135" max="5376" width="11.42578125" style="937"/>
    <col min="5377" max="5377" width="9.5703125" style="937" customWidth="1"/>
    <col min="5378" max="5378" width="14.140625" style="937" customWidth="1"/>
    <col min="5379" max="5390" width="8.28515625" style="937" customWidth="1"/>
    <col min="5391" max="5632" width="11.42578125" style="937"/>
    <col min="5633" max="5633" width="9.5703125" style="937" customWidth="1"/>
    <col min="5634" max="5634" width="14.140625" style="937" customWidth="1"/>
    <col min="5635" max="5646" width="8.28515625" style="937" customWidth="1"/>
    <col min="5647" max="5888" width="11.42578125" style="937"/>
    <col min="5889" max="5889" width="9.5703125" style="937" customWidth="1"/>
    <col min="5890" max="5890" width="14.140625" style="937" customWidth="1"/>
    <col min="5891" max="5902" width="8.28515625" style="937" customWidth="1"/>
    <col min="5903" max="6144" width="11.42578125" style="937"/>
    <col min="6145" max="6145" width="9.5703125" style="937" customWidth="1"/>
    <col min="6146" max="6146" width="14.140625" style="937" customWidth="1"/>
    <col min="6147" max="6158" width="8.28515625" style="937" customWidth="1"/>
    <col min="6159" max="6400" width="11.42578125" style="937"/>
    <col min="6401" max="6401" width="9.5703125" style="937" customWidth="1"/>
    <col min="6402" max="6402" width="14.140625" style="937" customWidth="1"/>
    <col min="6403" max="6414" width="8.28515625" style="937" customWidth="1"/>
    <col min="6415" max="6656" width="11.42578125" style="937"/>
    <col min="6657" max="6657" width="9.5703125" style="937" customWidth="1"/>
    <col min="6658" max="6658" width="14.140625" style="937" customWidth="1"/>
    <col min="6659" max="6670" width="8.28515625" style="937" customWidth="1"/>
    <col min="6671" max="6912" width="11.42578125" style="937"/>
    <col min="6913" max="6913" width="9.5703125" style="937" customWidth="1"/>
    <col min="6914" max="6914" width="14.140625" style="937" customWidth="1"/>
    <col min="6915" max="6926" width="8.28515625" style="937" customWidth="1"/>
    <col min="6927" max="7168" width="11.42578125" style="937"/>
    <col min="7169" max="7169" width="9.5703125" style="937" customWidth="1"/>
    <col min="7170" max="7170" width="14.140625" style="937" customWidth="1"/>
    <col min="7171" max="7182" width="8.28515625" style="937" customWidth="1"/>
    <col min="7183" max="7424" width="11.42578125" style="937"/>
    <col min="7425" max="7425" width="9.5703125" style="937" customWidth="1"/>
    <col min="7426" max="7426" width="14.140625" style="937" customWidth="1"/>
    <col min="7427" max="7438" width="8.28515625" style="937" customWidth="1"/>
    <col min="7439" max="7680" width="11.42578125" style="937"/>
    <col min="7681" max="7681" width="9.5703125" style="937" customWidth="1"/>
    <col min="7682" max="7682" width="14.140625" style="937" customWidth="1"/>
    <col min="7683" max="7694" width="8.28515625" style="937" customWidth="1"/>
    <col min="7695" max="7936" width="11.42578125" style="937"/>
    <col min="7937" max="7937" width="9.5703125" style="937" customWidth="1"/>
    <col min="7938" max="7938" width="14.140625" style="937" customWidth="1"/>
    <col min="7939" max="7950" width="8.28515625" style="937" customWidth="1"/>
    <col min="7951" max="8192" width="11.42578125" style="937"/>
    <col min="8193" max="8193" width="9.5703125" style="937" customWidth="1"/>
    <col min="8194" max="8194" width="14.140625" style="937" customWidth="1"/>
    <col min="8195" max="8206" width="8.28515625" style="937" customWidth="1"/>
    <col min="8207" max="8448" width="11.42578125" style="937"/>
    <col min="8449" max="8449" width="9.5703125" style="937" customWidth="1"/>
    <col min="8450" max="8450" width="14.140625" style="937" customWidth="1"/>
    <col min="8451" max="8462" width="8.28515625" style="937" customWidth="1"/>
    <col min="8463" max="8704" width="11.42578125" style="937"/>
    <col min="8705" max="8705" width="9.5703125" style="937" customWidth="1"/>
    <col min="8706" max="8706" width="14.140625" style="937" customWidth="1"/>
    <col min="8707" max="8718" width="8.28515625" style="937" customWidth="1"/>
    <col min="8719" max="8960" width="11.42578125" style="937"/>
    <col min="8961" max="8961" width="9.5703125" style="937" customWidth="1"/>
    <col min="8962" max="8962" width="14.140625" style="937" customWidth="1"/>
    <col min="8963" max="8974" width="8.28515625" style="937" customWidth="1"/>
    <col min="8975" max="9216" width="11.42578125" style="937"/>
    <col min="9217" max="9217" width="9.5703125" style="937" customWidth="1"/>
    <col min="9218" max="9218" width="14.140625" style="937" customWidth="1"/>
    <col min="9219" max="9230" width="8.28515625" style="937" customWidth="1"/>
    <col min="9231" max="9472" width="11.42578125" style="937"/>
    <col min="9473" max="9473" width="9.5703125" style="937" customWidth="1"/>
    <col min="9474" max="9474" width="14.140625" style="937" customWidth="1"/>
    <col min="9475" max="9486" width="8.28515625" style="937" customWidth="1"/>
    <col min="9487" max="9728" width="11.42578125" style="937"/>
    <col min="9729" max="9729" width="9.5703125" style="937" customWidth="1"/>
    <col min="9730" max="9730" width="14.140625" style="937" customWidth="1"/>
    <col min="9731" max="9742" width="8.28515625" style="937" customWidth="1"/>
    <col min="9743" max="9984" width="11.42578125" style="937"/>
    <col min="9985" max="9985" width="9.5703125" style="937" customWidth="1"/>
    <col min="9986" max="9986" width="14.140625" style="937" customWidth="1"/>
    <col min="9987" max="9998" width="8.28515625" style="937" customWidth="1"/>
    <col min="9999" max="10240" width="11.42578125" style="937"/>
    <col min="10241" max="10241" width="9.5703125" style="937" customWidth="1"/>
    <col min="10242" max="10242" width="14.140625" style="937" customWidth="1"/>
    <col min="10243" max="10254" width="8.28515625" style="937" customWidth="1"/>
    <col min="10255" max="10496" width="11.42578125" style="937"/>
    <col min="10497" max="10497" width="9.5703125" style="937" customWidth="1"/>
    <col min="10498" max="10498" width="14.140625" style="937" customWidth="1"/>
    <col min="10499" max="10510" width="8.28515625" style="937" customWidth="1"/>
    <col min="10511" max="10752" width="11.42578125" style="937"/>
    <col min="10753" max="10753" width="9.5703125" style="937" customWidth="1"/>
    <col min="10754" max="10754" width="14.140625" style="937" customWidth="1"/>
    <col min="10755" max="10766" width="8.28515625" style="937" customWidth="1"/>
    <col min="10767" max="11008" width="11.42578125" style="937"/>
    <col min="11009" max="11009" width="9.5703125" style="937" customWidth="1"/>
    <col min="11010" max="11010" width="14.140625" style="937" customWidth="1"/>
    <col min="11011" max="11022" width="8.28515625" style="937" customWidth="1"/>
    <col min="11023" max="11264" width="11.42578125" style="937"/>
    <col min="11265" max="11265" width="9.5703125" style="937" customWidth="1"/>
    <col min="11266" max="11266" width="14.140625" style="937" customWidth="1"/>
    <col min="11267" max="11278" width="8.28515625" style="937" customWidth="1"/>
    <col min="11279" max="11520" width="11.42578125" style="937"/>
    <col min="11521" max="11521" width="9.5703125" style="937" customWidth="1"/>
    <col min="11522" max="11522" width="14.140625" style="937" customWidth="1"/>
    <col min="11523" max="11534" width="8.28515625" style="937" customWidth="1"/>
    <col min="11535" max="11776" width="11.42578125" style="937"/>
    <col min="11777" max="11777" width="9.5703125" style="937" customWidth="1"/>
    <col min="11778" max="11778" width="14.140625" style="937" customWidth="1"/>
    <col min="11779" max="11790" width="8.28515625" style="937" customWidth="1"/>
    <col min="11791" max="12032" width="11.42578125" style="937"/>
    <col min="12033" max="12033" width="9.5703125" style="937" customWidth="1"/>
    <col min="12034" max="12034" width="14.140625" style="937" customWidth="1"/>
    <col min="12035" max="12046" width="8.28515625" style="937" customWidth="1"/>
    <col min="12047" max="12288" width="11.42578125" style="937"/>
    <col min="12289" max="12289" width="9.5703125" style="937" customWidth="1"/>
    <col min="12290" max="12290" width="14.140625" style="937" customWidth="1"/>
    <col min="12291" max="12302" width="8.28515625" style="937" customWidth="1"/>
    <col min="12303" max="12544" width="11.42578125" style="937"/>
    <col min="12545" max="12545" width="9.5703125" style="937" customWidth="1"/>
    <col min="12546" max="12546" width="14.140625" style="937" customWidth="1"/>
    <col min="12547" max="12558" width="8.28515625" style="937" customWidth="1"/>
    <col min="12559" max="12800" width="11.42578125" style="937"/>
    <col min="12801" max="12801" width="9.5703125" style="937" customWidth="1"/>
    <col min="12802" max="12802" width="14.140625" style="937" customWidth="1"/>
    <col min="12803" max="12814" width="8.28515625" style="937" customWidth="1"/>
    <col min="12815" max="13056" width="11.42578125" style="937"/>
    <col min="13057" max="13057" width="9.5703125" style="937" customWidth="1"/>
    <col min="13058" max="13058" width="14.140625" style="937" customWidth="1"/>
    <col min="13059" max="13070" width="8.28515625" style="937" customWidth="1"/>
    <col min="13071" max="13312" width="11.42578125" style="937"/>
    <col min="13313" max="13313" width="9.5703125" style="937" customWidth="1"/>
    <col min="13314" max="13314" width="14.140625" style="937" customWidth="1"/>
    <col min="13315" max="13326" width="8.28515625" style="937" customWidth="1"/>
    <col min="13327" max="13568" width="11.42578125" style="937"/>
    <col min="13569" max="13569" width="9.5703125" style="937" customWidth="1"/>
    <col min="13570" max="13570" width="14.140625" style="937" customWidth="1"/>
    <col min="13571" max="13582" width="8.28515625" style="937" customWidth="1"/>
    <col min="13583" max="13824" width="11.42578125" style="937"/>
    <col min="13825" max="13825" width="9.5703125" style="937" customWidth="1"/>
    <col min="13826" max="13826" width="14.140625" style="937" customWidth="1"/>
    <col min="13827" max="13838" width="8.28515625" style="937" customWidth="1"/>
    <col min="13839" max="14080" width="11.42578125" style="937"/>
    <col min="14081" max="14081" width="9.5703125" style="937" customWidth="1"/>
    <col min="14082" max="14082" width="14.140625" style="937" customWidth="1"/>
    <col min="14083" max="14094" width="8.28515625" style="937" customWidth="1"/>
    <col min="14095" max="14336" width="11.42578125" style="937"/>
    <col min="14337" max="14337" width="9.5703125" style="937" customWidth="1"/>
    <col min="14338" max="14338" width="14.140625" style="937" customWidth="1"/>
    <col min="14339" max="14350" width="8.28515625" style="937" customWidth="1"/>
    <col min="14351" max="14592" width="11.42578125" style="937"/>
    <col min="14593" max="14593" width="9.5703125" style="937" customWidth="1"/>
    <col min="14594" max="14594" width="14.140625" style="937" customWidth="1"/>
    <col min="14595" max="14606" width="8.28515625" style="937" customWidth="1"/>
    <col min="14607" max="14848" width="11.42578125" style="937"/>
    <col min="14849" max="14849" width="9.5703125" style="937" customWidth="1"/>
    <col min="14850" max="14850" width="14.140625" style="937" customWidth="1"/>
    <col min="14851" max="14862" width="8.28515625" style="937" customWidth="1"/>
    <col min="14863" max="15104" width="11.42578125" style="937"/>
    <col min="15105" max="15105" width="9.5703125" style="937" customWidth="1"/>
    <col min="15106" max="15106" width="14.140625" style="937" customWidth="1"/>
    <col min="15107" max="15118" width="8.28515625" style="937" customWidth="1"/>
    <col min="15119" max="15360" width="11.42578125" style="937"/>
    <col min="15361" max="15361" width="9.5703125" style="937" customWidth="1"/>
    <col min="15362" max="15362" width="14.140625" style="937" customWidth="1"/>
    <col min="15363" max="15374" width="8.28515625" style="937" customWidth="1"/>
    <col min="15375" max="15616" width="11.42578125" style="937"/>
    <col min="15617" max="15617" width="9.5703125" style="937" customWidth="1"/>
    <col min="15618" max="15618" width="14.140625" style="937" customWidth="1"/>
    <col min="15619" max="15630" width="8.28515625" style="937" customWidth="1"/>
    <col min="15631" max="15872" width="11.42578125" style="937"/>
    <col min="15873" max="15873" width="9.5703125" style="937" customWidth="1"/>
    <col min="15874" max="15874" width="14.140625" style="937" customWidth="1"/>
    <col min="15875" max="15886" width="8.28515625" style="937" customWidth="1"/>
    <col min="15887" max="16128" width="11.42578125" style="937"/>
    <col min="16129" max="16129" width="9.5703125" style="937" customWidth="1"/>
    <col min="16130" max="16130" width="14.140625" style="937" customWidth="1"/>
    <col min="16131" max="16142" width="8.28515625" style="937" customWidth="1"/>
    <col min="16143" max="16384" width="11.42578125" style="937"/>
  </cols>
  <sheetData>
    <row r="1" spans="2:14">
      <c r="B1" s="936" t="s">
        <v>338</v>
      </c>
    </row>
    <row r="3" spans="2:14" ht="25.5">
      <c r="B3" s="938" t="s">
        <v>326</v>
      </c>
      <c r="C3" s="939" t="s">
        <v>245</v>
      </c>
      <c r="D3" s="938" t="s">
        <v>222</v>
      </c>
      <c r="E3" s="938" t="s">
        <v>223</v>
      </c>
      <c r="F3" s="938" t="s">
        <v>339</v>
      </c>
      <c r="G3" s="938" t="s">
        <v>220</v>
      </c>
      <c r="H3" s="938" t="s">
        <v>277</v>
      </c>
      <c r="I3" s="938" t="s">
        <v>219</v>
      </c>
      <c r="J3" s="938" t="s">
        <v>221</v>
      </c>
      <c r="K3" s="938" t="s">
        <v>224</v>
      </c>
      <c r="L3" s="938" t="s">
        <v>241</v>
      </c>
      <c r="M3" s="938" t="s">
        <v>340</v>
      </c>
      <c r="N3" s="938" t="s">
        <v>341</v>
      </c>
    </row>
    <row r="4" spans="2:14">
      <c r="B4" s="940"/>
      <c r="C4" s="941"/>
      <c r="D4" s="942"/>
      <c r="E4" s="943"/>
      <c r="F4" s="942"/>
      <c r="G4" s="942"/>
      <c r="H4" s="943"/>
      <c r="I4" s="942"/>
      <c r="J4" s="944"/>
      <c r="K4" s="944"/>
      <c r="L4" s="944"/>
      <c r="M4" s="943"/>
      <c r="N4" s="942"/>
    </row>
    <row r="5" spans="2:14" ht="14.25">
      <c r="B5" s="940" t="s">
        <v>342</v>
      </c>
      <c r="C5" s="941">
        <f>SUM(D5:N5)</f>
        <v>218</v>
      </c>
      <c r="D5" s="942">
        <v>56</v>
      </c>
      <c r="E5" s="942">
        <v>60</v>
      </c>
      <c r="F5" s="942">
        <v>5</v>
      </c>
      <c r="G5" s="942">
        <v>14</v>
      </c>
      <c r="H5" s="942">
        <v>17</v>
      </c>
      <c r="I5" s="942">
        <v>20</v>
      </c>
      <c r="J5" s="942">
        <v>9</v>
      </c>
      <c r="K5" s="942">
        <v>6</v>
      </c>
      <c r="L5" s="942">
        <v>11</v>
      </c>
      <c r="M5" s="945">
        <v>7</v>
      </c>
      <c r="N5" s="942">
        <v>13</v>
      </c>
    </row>
    <row r="6" spans="2:14">
      <c r="B6" s="946"/>
      <c r="C6" s="947"/>
      <c r="D6" s="948"/>
      <c r="E6" s="949"/>
      <c r="F6" s="948"/>
      <c r="G6" s="948"/>
      <c r="H6" s="949"/>
      <c r="I6" s="948"/>
      <c r="J6" s="948"/>
      <c r="K6" s="948"/>
      <c r="L6" s="948"/>
      <c r="M6" s="949"/>
      <c r="N6" s="948"/>
    </row>
    <row r="7" spans="2:14">
      <c r="B7" s="940" t="s">
        <v>332</v>
      </c>
      <c r="C7" s="941">
        <v>252</v>
      </c>
      <c r="D7" s="942">
        <v>61</v>
      </c>
      <c r="E7" s="942">
        <v>74</v>
      </c>
      <c r="F7" s="942">
        <v>9</v>
      </c>
      <c r="G7" s="942">
        <v>13</v>
      </c>
      <c r="H7" s="942">
        <v>17</v>
      </c>
      <c r="I7" s="942">
        <v>23</v>
      </c>
      <c r="J7" s="942">
        <v>11</v>
      </c>
      <c r="K7" s="942">
        <v>6</v>
      </c>
      <c r="L7" s="942">
        <v>17</v>
      </c>
      <c r="M7" s="945">
        <v>7</v>
      </c>
      <c r="N7" s="942">
        <v>14</v>
      </c>
    </row>
    <row r="8" spans="2:14">
      <c r="B8" s="940"/>
      <c r="C8" s="941"/>
      <c r="D8" s="942"/>
      <c r="E8" s="942"/>
      <c r="F8" s="950"/>
      <c r="G8" s="942"/>
      <c r="H8" s="945"/>
      <c r="I8" s="942"/>
      <c r="J8" s="942"/>
      <c r="K8" s="942"/>
      <c r="L8" s="942"/>
      <c r="M8" s="945"/>
      <c r="N8" s="942"/>
    </row>
    <row r="9" spans="2:14">
      <c r="B9" s="946" t="s">
        <v>333</v>
      </c>
      <c r="C9" s="951">
        <f>C5-C7</f>
        <v>-34</v>
      </c>
      <c r="D9" s="951">
        <f t="shared" ref="D9:N9" si="0">D5-D7</f>
        <v>-5</v>
      </c>
      <c r="E9" s="951">
        <f t="shared" si="0"/>
        <v>-14</v>
      </c>
      <c r="F9" s="951">
        <f t="shared" si="0"/>
        <v>-4</v>
      </c>
      <c r="G9" s="951">
        <f t="shared" si="0"/>
        <v>1</v>
      </c>
      <c r="H9" s="951">
        <f t="shared" si="0"/>
        <v>0</v>
      </c>
      <c r="I9" s="951">
        <f t="shared" si="0"/>
        <v>-3</v>
      </c>
      <c r="J9" s="951">
        <f t="shared" si="0"/>
        <v>-2</v>
      </c>
      <c r="K9" s="951">
        <f t="shared" si="0"/>
        <v>0</v>
      </c>
      <c r="L9" s="951">
        <f t="shared" si="0"/>
        <v>-6</v>
      </c>
      <c r="M9" s="951">
        <f t="shared" si="0"/>
        <v>0</v>
      </c>
      <c r="N9" s="951">
        <f t="shared" si="0"/>
        <v>-1</v>
      </c>
    </row>
    <row r="10" spans="2:14">
      <c r="B10" s="952" t="s">
        <v>32</v>
      </c>
      <c r="C10" s="953">
        <f>C9/C7*100</f>
        <v>-13.492063492063492</v>
      </c>
      <c r="D10" s="953">
        <f t="shared" ref="D10:N10" si="1">D9/D7*100</f>
        <v>-8.1967213114754092</v>
      </c>
      <c r="E10" s="953">
        <f t="shared" si="1"/>
        <v>-18.918918918918919</v>
      </c>
      <c r="F10" s="953">
        <f t="shared" si="1"/>
        <v>-44.444444444444443</v>
      </c>
      <c r="G10" s="953">
        <f t="shared" si="1"/>
        <v>7.6923076923076925</v>
      </c>
      <c r="H10" s="953">
        <f t="shared" si="1"/>
        <v>0</v>
      </c>
      <c r="I10" s="953">
        <f t="shared" si="1"/>
        <v>-13.043478260869565</v>
      </c>
      <c r="J10" s="953">
        <f t="shared" si="1"/>
        <v>-18.181818181818183</v>
      </c>
      <c r="K10" s="953">
        <f t="shared" si="1"/>
        <v>0</v>
      </c>
      <c r="L10" s="953">
        <f t="shared" si="1"/>
        <v>-35.294117647058826</v>
      </c>
      <c r="M10" s="953">
        <f t="shared" si="1"/>
        <v>0</v>
      </c>
      <c r="N10" s="953">
        <f t="shared" si="1"/>
        <v>-7.1428571428571423</v>
      </c>
    </row>
    <row r="11" spans="2:14">
      <c r="B11" s="954" t="s">
        <v>343</v>
      </c>
      <c r="C11" s="955"/>
      <c r="D11" s="955"/>
      <c r="E11" s="955"/>
      <c r="F11" s="955"/>
      <c r="G11" s="955"/>
      <c r="H11" s="955"/>
      <c r="I11" s="955"/>
      <c r="J11" s="955"/>
      <c r="K11" s="955"/>
      <c r="L11" s="955"/>
      <c r="M11" s="955"/>
      <c r="N11" s="955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sqref="A1:G17"/>
    </sheetView>
  </sheetViews>
  <sheetFormatPr baseColWidth="10" defaultRowHeight="15"/>
  <cols>
    <col min="1" max="1" width="13.5703125" style="957" customWidth="1"/>
    <col min="2" max="2" width="14.28515625" style="957" bestFit="1" customWidth="1"/>
    <col min="3" max="3" width="13.5703125" style="957" customWidth="1"/>
    <col min="4" max="4" width="14.140625" style="957" customWidth="1"/>
    <col min="5" max="5" width="12.85546875" style="957" customWidth="1"/>
    <col min="6" max="6" width="11.42578125" style="957" customWidth="1"/>
    <col min="7" max="254" width="11.42578125" style="957"/>
    <col min="255" max="255" width="13.5703125" style="957" customWidth="1"/>
    <col min="256" max="256" width="14.28515625" style="957" bestFit="1" customWidth="1"/>
    <col min="257" max="257" width="13.5703125" style="957" customWidth="1"/>
    <col min="258" max="258" width="14.140625" style="957" customWidth="1"/>
    <col min="259" max="259" width="12.85546875" style="957" customWidth="1"/>
    <col min="260" max="260" width="11.42578125" style="957" customWidth="1"/>
    <col min="261" max="510" width="11.42578125" style="957"/>
    <col min="511" max="511" width="13.5703125" style="957" customWidth="1"/>
    <col min="512" max="512" width="14.28515625" style="957" bestFit="1" customWidth="1"/>
    <col min="513" max="513" width="13.5703125" style="957" customWidth="1"/>
    <col min="514" max="514" width="14.140625" style="957" customWidth="1"/>
    <col min="515" max="515" width="12.85546875" style="957" customWidth="1"/>
    <col min="516" max="516" width="11.42578125" style="957" customWidth="1"/>
    <col min="517" max="766" width="11.42578125" style="957"/>
    <col min="767" max="767" width="13.5703125" style="957" customWidth="1"/>
    <col min="768" max="768" width="14.28515625" style="957" bestFit="1" customWidth="1"/>
    <col min="769" max="769" width="13.5703125" style="957" customWidth="1"/>
    <col min="770" max="770" width="14.140625" style="957" customWidth="1"/>
    <col min="771" max="771" width="12.85546875" style="957" customWidth="1"/>
    <col min="772" max="772" width="11.42578125" style="957" customWidth="1"/>
    <col min="773" max="1022" width="11.42578125" style="957"/>
    <col min="1023" max="1023" width="13.5703125" style="957" customWidth="1"/>
    <col min="1024" max="1024" width="14.28515625" style="957" bestFit="1" customWidth="1"/>
    <col min="1025" max="1025" width="13.5703125" style="957" customWidth="1"/>
    <col min="1026" max="1026" width="14.140625" style="957" customWidth="1"/>
    <col min="1027" max="1027" width="12.85546875" style="957" customWidth="1"/>
    <col min="1028" max="1028" width="11.42578125" style="957" customWidth="1"/>
    <col min="1029" max="1278" width="11.42578125" style="957"/>
    <col min="1279" max="1279" width="13.5703125" style="957" customWidth="1"/>
    <col min="1280" max="1280" width="14.28515625" style="957" bestFit="1" customWidth="1"/>
    <col min="1281" max="1281" width="13.5703125" style="957" customWidth="1"/>
    <col min="1282" max="1282" width="14.140625" style="957" customWidth="1"/>
    <col min="1283" max="1283" width="12.85546875" style="957" customWidth="1"/>
    <col min="1284" max="1284" width="11.42578125" style="957" customWidth="1"/>
    <col min="1285" max="1534" width="11.42578125" style="957"/>
    <col min="1535" max="1535" width="13.5703125" style="957" customWidth="1"/>
    <col min="1536" max="1536" width="14.28515625" style="957" bestFit="1" customWidth="1"/>
    <col min="1537" max="1537" width="13.5703125" style="957" customWidth="1"/>
    <col min="1538" max="1538" width="14.140625" style="957" customWidth="1"/>
    <col min="1539" max="1539" width="12.85546875" style="957" customWidth="1"/>
    <col min="1540" max="1540" width="11.42578125" style="957" customWidth="1"/>
    <col min="1541" max="1790" width="11.42578125" style="957"/>
    <col min="1791" max="1791" width="13.5703125" style="957" customWidth="1"/>
    <col min="1792" max="1792" width="14.28515625" style="957" bestFit="1" customWidth="1"/>
    <col min="1793" max="1793" width="13.5703125" style="957" customWidth="1"/>
    <col min="1794" max="1794" width="14.140625" style="957" customWidth="1"/>
    <col min="1795" max="1795" width="12.85546875" style="957" customWidth="1"/>
    <col min="1796" max="1796" width="11.42578125" style="957" customWidth="1"/>
    <col min="1797" max="2046" width="11.42578125" style="957"/>
    <col min="2047" max="2047" width="13.5703125" style="957" customWidth="1"/>
    <col min="2048" max="2048" width="14.28515625" style="957" bestFit="1" customWidth="1"/>
    <col min="2049" max="2049" width="13.5703125" style="957" customWidth="1"/>
    <col min="2050" max="2050" width="14.140625" style="957" customWidth="1"/>
    <col min="2051" max="2051" width="12.85546875" style="957" customWidth="1"/>
    <col min="2052" max="2052" width="11.42578125" style="957" customWidth="1"/>
    <col min="2053" max="2302" width="11.42578125" style="957"/>
    <col min="2303" max="2303" width="13.5703125" style="957" customWidth="1"/>
    <col min="2304" max="2304" width="14.28515625" style="957" bestFit="1" customWidth="1"/>
    <col min="2305" max="2305" width="13.5703125" style="957" customWidth="1"/>
    <col min="2306" max="2306" width="14.140625" style="957" customWidth="1"/>
    <col min="2307" max="2307" width="12.85546875" style="957" customWidth="1"/>
    <col min="2308" max="2308" width="11.42578125" style="957" customWidth="1"/>
    <col min="2309" max="2558" width="11.42578125" style="957"/>
    <col min="2559" max="2559" width="13.5703125" style="957" customWidth="1"/>
    <col min="2560" max="2560" width="14.28515625" style="957" bestFit="1" customWidth="1"/>
    <col min="2561" max="2561" width="13.5703125" style="957" customWidth="1"/>
    <col min="2562" max="2562" width="14.140625" style="957" customWidth="1"/>
    <col min="2563" max="2563" width="12.85546875" style="957" customWidth="1"/>
    <col min="2564" max="2564" width="11.42578125" style="957" customWidth="1"/>
    <col min="2565" max="2814" width="11.42578125" style="957"/>
    <col min="2815" max="2815" width="13.5703125" style="957" customWidth="1"/>
    <col min="2816" max="2816" width="14.28515625" style="957" bestFit="1" customWidth="1"/>
    <col min="2817" max="2817" width="13.5703125" style="957" customWidth="1"/>
    <col min="2818" max="2818" width="14.140625" style="957" customWidth="1"/>
    <col min="2819" max="2819" width="12.85546875" style="957" customWidth="1"/>
    <col min="2820" max="2820" width="11.42578125" style="957" customWidth="1"/>
    <col min="2821" max="3070" width="11.42578125" style="957"/>
    <col min="3071" max="3071" width="13.5703125" style="957" customWidth="1"/>
    <col min="3072" max="3072" width="14.28515625" style="957" bestFit="1" customWidth="1"/>
    <col min="3073" max="3073" width="13.5703125" style="957" customWidth="1"/>
    <col min="3074" max="3074" width="14.140625" style="957" customWidth="1"/>
    <col min="3075" max="3075" width="12.85546875" style="957" customWidth="1"/>
    <col min="3076" max="3076" width="11.42578125" style="957" customWidth="1"/>
    <col min="3077" max="3326" width="11.42578125" style="957"/>
    <col min="3327" max="3327" width="13.5703125" style="957" customWidth="1"/>
    <col min="3328" max="3328" width="14.28515625" style="957" bestFit="1" customWidth="1"/>
    <col min="3329" max="3329" width="13.5703125" style="957" customWidth="1"/>
    <col min="3330" max="3330" width="14.140625" style="957" customWidth="1"/>
    <col min="3331" max="3331" width="12.85546875" style="957" customWidth="1"/>
    <col min="3332" max="3332" width="11.42578125" style="957" customWidth="1"/>
    <col min="3333" max="3582" width="11.42578125" style="957"/>
    <col min="3583" max="3583" width="13.5703125" style="957" customWidth="1"/>
    <col min="3584" max="3584" width="14.28515625" style="957" bestFit="1" customWidth="1"/>
    <col min="3585" max="3585" width="13.5703125" style="957" customWidth="1"/>
    <col min="3586" max="3586" width="14.140625" style="957" customWidth="1"/>
    <col min="3587" max="3587" width="12.85546875" style="957" customWidth="1"/>
    <col min="3588" max="3588" width="11.42578125" style="957" customWidth="1"/>
    <col min="3589" max="3838" width="11.42578125" style="957"/>
    <col min="3839" max="3839" width="13.5703125" style="957" customWidth="1"/>
    <col min="3840" max="3840" width="14.28515625" style="957" bestFit="1" customWidth="1"/>
    <col min="3841" max="3841" width="13.5703125" style="957" customWidth="1"/>
    <col min="3842" max="3842" width="14.140625" style="957" customWidth="1"/>
    <col min="3843" max="3843" width="12.85546875" style="957" customWidth="1"/>
    <col min="3844" max="3844" width="11.42578125" style="957" customWidth="1"/>
    <col min="3845" max="4094" width="11.42578125" style="957"/>
    <col min="4095" max="4095" width="13.5703125" style="957" customWidth="1"/>
    <col min="4096" max="4096" width="14.28515625" style="957" bestFit="1" customWidth="1"/>
    <col min="4097" max="4097" width="13.5703125" style="957" customWidth="1"/>
    <col min="4098" max="4098" width="14.140625" style="957" customWidth="1"/>
    <col min="4099" max="4099" width="12.85546875" style="957" customWidth="1"/>
    <col min="4100" max="4100" width="11.42578125" style="957" customWidth="1"/>
    <col min="4101" max="4350" width="11.42578125" style="957"/>
    <col min="4351" max="4351" width="13.5703125" style="957" customWidth="1"/>
    <col min="4352" max="4352" width="14.28515625" style="957" bestFit="1" customWidth="1"/>
    <col min="4353" max="4353" width="13.5703125" style="957" customWidth="1"/>
    <col min="4354" max="4354" width="14.140625" style="957" customWidth="1"/>
    <col min="4355" max="4355" width="12.85546875" style="957" customWidth="1"/>
    <col min="4356" max="4356" width="11.42578125" style="957" customWidth="1"/>
    <col min="4357" max="4606" width="11.42578125" style="957"/>
    <col min="4607" max="4607" width="13.5703125" style="957" customWidth="1"/>
    <col min="4608" max="4608" width="14.28515625" style="957" bestFit="1" customWidth="1"/>
    <col min="4609" max="4609" width="13.5703125" style="957" customWidth="1"/>
    <col min="4610" max="4610" width="14.140625" style="957" customWidth="1"/>
    <col min="4611" max="4611" width="12.85546875" style="957" customWidth="1"/>
    <col min="4612" max="4612" width="11.42578125" style="957" customWidth="1"/>
    <col min="4613" max="4862" width="11.42578125" style="957"/>
    <col min="4863" max="4863" width="13.5703125" style="957" customWidth="1"/>
    <col min="4864" max="4864" width="14.28515625" style="957" bestFit="1" customWidth="1"/>
    <col min="4865" max="4865" width="13.5703125" style="957" customWidth="1"/>
    <col min="4866" max="4866" width="14.140625" style="957" customWidth="1"/>
    <col min="4867" max="4867" width="12.85546875" style="957" customWidth="1"/>
    <col min="4868" max="4868" width="11.42578125" style="957" customWidth="1"/>
    <col min="4869" max="5118" width="11.42578125" style="957"/>
    <col min="5119" max="5119" width="13.5703125" style="957" customWidth="1"/>
    <col min="5120" max="5120" width="14.28515625" style="957" bestFit="1" customWidth="1"/>
    <col min="5121" max="5121" width="13.5703125" style="957" customWidth="1"/>
    <col min="5122" max="5122" width="14.140625" style="957" customWidth="1"/>
    <col min="5123" max="5123" width="12.85546875" style="957" customWidth="1"/>
    <col min="5124" max="5124" width="11.42578125" style="957" customWidth="1"/>
    <col min="5125" max="5374" width="11.42578125" style="957"/>
    <col min="5375" max="5375" width="13.5703125" style="957" customWidth="1"/>
    <col min="5376" max="5376" width="14.28515625" style="957" bestFit="1" customWidth="1"/>
    <col min="5377" max="5377" width="13.5703125" style="957" customWidth="1"/>
    <col min="5378" max="5378" width="14.140625" style="957" customWidth="1"/>
    <col min="5379" max="5379" width="12.85546875" style="957" customWidth="1"/>
    <col min="5380" max="5380" width="11.42578125" style="957" customWidth="1"/>
    <col min="5381" max="5630" width="11.42578125" style="957"/>
    <col min="5631" max="5631" width="13.5703125" style="957" customWidth="1"/>
    <col min="5632" max="5632" width="14.28515625" style="957" bestFit="1" customWidth="1"/>
    <col min="5633" max="5633" width="13.5703125" style="957" customWidth="1"/>
    <col min="5634" max="5634" width="14.140625" style="957" customWidth="1"/>
    <col min="5635" max="5635" width="12.85546875" style="957" customWidth="1"/>
    <col min="5636" max="5636" width="11.42578125" style="957" customWidth="1"/>
    <col min="5637" max="5886" width="11.42578125" style="957"/>
    <col min="5887" max="5887" width="13.5703125" style="957" customWidth="1"/>
    <col min="5888" max="5888" width="14.28515625" style="957" bestFit="1" customWidth="1"/>
    <col min="5889" max="5889" width="13.5703125" style="957" customWidth="1"/>
    <col min="5890" max="5890" width="14.140625" style="957" customWidth="1"/>
    <col min="5891" max="5891" width="12.85546875" style="957" customWidth="1"/>
    <col min="5892" max="5892" width="11.42578125" style="957" customWidth="1"/>
    <col min="5893" max="6142" width="11.42578125" style="957"/>
    <col min="6143" max="6143" width="13.5703125" style="957" customWidth="1"/>
    <col min="6144" max="6144" width="14.28515625" style="957" bestFit="1" customWidth="1"/>
    <col min="6145" max="6145" width="13.5703125" style="957" customWidth="1"/>
    <col min="6146" max="6146" width="14.140625" style="957" customWidth="1"/>
    <col min="6147" max="6147" width="12.85546875" style="957" customWidth="1"/>
    <col min="6148" max="6148" width="11.42578125" style="957" customWidth="1"/>
    <col min="6149" max="6398" width="11.42578125" style="957"/>
    <col min="6399" max="6399" width="13.5703125" style="957" customWidth="1"/>
    <col min="6400" max="6400" width="14.28515625" style="957" bestFit="1" customWidth="1"/>
    <col min="6401" max="6401" width="13.5703125" style="957" customWidth="1"/>
    <col min="6402" max="6402" width="14.140625" style="957" customWidth="1"/>
    <col min="6403" max="6403" width="12.85546875" style="957" customWidth="1"/>
    <col min="6404" max="6404" width="11.42578125" style="957" customWidth="1"/>
    <col min="6405" max="6654" width="11.42578125" style="957"/>
    <col min="6655" max="6655" width="13.5703125" style="957" customWidth="1"/>
    <col min="6656" max="6656" width="14.28515625" style="957" bestFit="1" customWidth="1"/>
    <col min="6657" max="6657" width="13.5703125" style="957" customWidth="1"/>
    <col min="6658" max="6658" width="14.140625" style="957" customWidth="1"/>
    <col min="6659" max="6659" width="12.85546875" style="957" customWidth="1"/>
    <col min="6660" max="6660" width="11.42578125" style="957" customWidth="1"/>
    <col min="6661" max="6910" width="11.42578125" style="957"/>
    <col min="6911" max="6911" width="13.5703125" style="957" customWidth="1"/>
    <col min="6912" max="6912" width="14.28515625" style="957" bestFit="1" customWidth="1"/>
    <col min="6913" max="6913" width="13.5703125" style="957" customWidth="1"/>
    <col min="6914" max="6914" width="14.140625" style="957" customWidth="1"/>
    <col min="6915" max="6915" width="12.85546875" style="957" customWidth="1"/>
    <col min="6916" max="6916" width="11.42578125" style="957" customWidth="1"/>
    <col min="6917" max="7166" width="11.42578125" style="957"/>
    <col min="7167" max="7167" width="13.5703125" style="957" customWidth="1"/>
    <col min="7168" max="7168" width="14.28515625" style="957" bestFit="1" customWidth="1"/>
    <col min="7169" max="7169" width="13.5703125" style="957" customWidth="1"/>
    <col min="7170" max="7170" width="14.140625" style="957" customWidth="1"/>
    <col min="7171" max="7171" width="12.85546875" style="957" customWidth="1"/>
    <col min="7172" max="7172" width="11.42578125" style="957" customWidth="1"/>
    <col min="7173" max="7422" width="11.42578125" style="957"/>
    <col min="7423" max="7423" width="13.5703125" style="957" customWidth="1"/>
    <col min="7424" max="7424" width="14.28515625" style="957" bestFit="1" customWidth="1"/>
    <col min="7425" max="7425" width="13.5703125" style="957" customWidth="1"/>
    <col min="7426" max="7426" width="14.140625" style="957" customWidth="1"/>
    <col min="7427" max="7427" width="12.85546875" style="957" customWidth="1"/>
    <col min="7428" max="7428" width="11.42578125" style="957" customWidth="1"/>
    <col min="7429" max="7678" width="11.42578125" style="957"/>
    <col min="7679" max="7679" width="13.5703125" style="957" customWidth="1"/>
    <col min="7680" max="7680" width="14.28515625" style="957" bestFit="1" customWidth="1"/>
    <col min="7681" max="7681" width="13.5703125" style="957" customWidth="1"/>
    <col min="7682" max="7682" width="14.140625" style="957" customWidth="1"/>
    <col min="7683" max="7683" width="12.85546875" style="957" customWidth="1"/>
    <col min="7684" max="7684" width="11.42578125" style="957" customWidth="1"/>
    <col min="7685" max="7934" width="11.42578125" style="957"/>
    <col min="7935" max="7935" width="13.5703125" style="957" customWidth="1"/>
    <col min="7936" max="7936" width="14.28515625" style="957" bestFit="1" customWidth="1"/>
    <col min="7937" max="7937" width="13.5703125" style="957" customWidth="1"/>
    <col min="7938" max="7938" width="14.140625" style="957" customWidth="1"/>
    <col min="7939" max="7939" width="12.85546875" style="957" customWidth="1"/>
    <col min="7940" max="7940" width="11.42578125" style="957" customWidth="1"/>
    <col min="7941" max="8190" width="11.42578125" style="957"/>
    <col min="8191" max="8191" width="13.5703125" style="957" customWidth="1"/>
    <col min="8192" max="8192" width="14.28515625" style="957" bestFit="1" customWidth="1"/>
    <col min="8193" max="8193" width="13.5703125" style="957" customWidth="1"/>
    <col min="8194" max="8194" width="14.140625" style="957" customWidth="1"/>
    <col min="8195" max="8195" width="12.85546875" style="957" customWidth="1"/>
    <col min="8196" max="8196" width="11.42578125" style="957" customWidth="1"/>
    <col min="8197" max="8446" width="11.42578125" style="957"/>
    <col min="8447" max="8447" width="13.5703125" style="957" customWidth="1"/>
    <col min="8448" max="8448" width="14.28515625" style="957" bestFit="1" customWidth="1"/>
    <col min="8449" max="8449" width="13.5703125" style="957" customWidth="1"/>
    <col min="8450" max="8450" width="14.140625" style="957" customWidth="1"/>
    <col min="8451" max="8451" width="12.85546875" style="957" customWidth="1"/>
    <col min="8452" max="8452" width="11.42578125" style="957" customWidth="1"/>
    <col min="8453" max="8702" width="11.42578125" style="957"/>
    <col min="8703" max="8703" width="13.5703125" style="957" customWidth="1"/>
    <col min="8704" max="8704" width="14.28515625" style="957" bestFit="1" customWidth="1"/>
    <col min="8705" max="8705" width="13.5703125" style="957" customWidth="1"/>
    <col min="8706" max="8706" width="14.140625" style="957" customWidth="1"/>
    <col min="8707" max="8707" width="12.85546875" style="957" customWidth="1"/>
    <col min="8708" max="8708" width="11.42578125" style="957" customWidth="1"/>
    <col min="8709" max="8958" width="11.42578125" style="957"/>
    <col min="8959" max="8959" width="13.5703125" style="957" customWidth="1"/>
    <col min="8960" max="8960" width="14.28515625" style="957" bestFit="1" customWidth="1"/>
    <col min="8961" max="8961" width="13.5703125" style="957" customWidth="1"/>
    <col min="8962" max="8962" width="14.140625" style="957" customWidth="1"/>
    <col min="8963" max="8963" width="12.85546875" style="957" customWidth="1"/>
    <col min="8964" max="8964" width="11.42578125" style="957" customWidth="1"/>
    <col min="8965" max="9214" width="11.42578125" style="957"/>
    <col min="9215" max="9215" width="13.5703125" style="957" customWidth="1"/>
    <col min="9216" max="9216" width="14.28515625" style="957" bestFit="1" customWidth="1"/>
    <col min="9217" max="9217" width="13.5703125" style="957" customWidth="1"/>
    <col min="9218" max="9218" width="14.140625" style="957" customWidth="1"/>
    <col min="9219" max="9219" width="12.85546875" style="957" customWidth="1"/>
    <col min="9220" max="9220" width="11.42578125" style="957" customWidth="1"/>
    <col min="9221" max="9470" width="11.42578125" style="957"/>
    <col min="9471" max="9471" width="13.5703125" style="957" customWidth="1"/>
    <col min="9472" max="9472" width="14.28515625" style="957" bestFit="1" customWidth="1"/>
    <col min="9473" max="9473" width="13.5703125" style="957" customWidth="1"/>
    <col min="9474" max="9474" width="14.140625" style="957" customWidth="1"/>
    <col min="9475" max="9475" width="12.85546875" style="957" customWidth="1"/>
    <col min="9476" max="9476" width="11.42578125" style="957" customWidth="1"/>
    <col min="9477" max="9726" width="11.42578125" style="957"/>
    <col min="9727" max="9727" width="13.5703125" style="957" customWidth="1"/>
    <col min="9728" max="9728" width="14.28515625" style="957" bestFit="1" customWidth="1"/>
    <col min="9729" max="9729" width="13.5703125" style="957" customWidth="1"/>
    <col min="9730" max="9730" width="14.140625" style="957" customWidth="1"/>
    <col min="9731" max="9731" width="12.85546875" style="957" customWidth="1"/>
    <col min="9732" max="9732" width="11.42578125" style="957" customWidth="1"/>
    <col min="9733" max="9982" width="11.42578125" style="957"/>
    <col min="9983" max="9983" width="13.5703125" style="957" customWidth="1"/>
    <col min="9984" max="9984" width="14.28515625" style="957" bestFit="1" customWidth="1"/>
    <col min="9985" max="9985" width="13.5703125" style="957" customWidth="1"/>
    <col min="9986" max="9986" width="14.140625" style="957" customWidth="1"/>
    <col min="9987" max="9987" width="12.85546875" style="957" customWidth="1"/>
    <col min="9988" max="9988" width="11.42578125" style="957" customWidth="1"/>
    <col min="9989" max="10238" width="11.42578125" style="957"/>
    <col min="10239" max="10239" width="13.5703125" style="957" customWidth="1"/>
    <col min="10240" max="10240" width="14.28515625" style="957" bestFit="1" customWidth="1"/>
    <col min="10241" max="10241" width="13.5703125" style="957" customWidth="1"/>
    <col min="10242" max="10242" width="14.140625" style="957" customWidth="1"/>
    <col min="10243" max="10243" width="12.85546875" style="957" customWidth="1"/>
    <col min="10244" max="10244" width="11.42578125" style="957" customWidth="1"/>
    <col min="10245" max="10494" width="11.42578125" style="957"/>
    <col min="10495" max="10495" width="13.5703125" style="957" customWidth="1"/>
    <col min="10496" max="10496" width="14.28515625" style="957" bestFit="1" customWidth="1"/>
    <col min="10497" max="10497" width="13.5703125" style="957" customWidth="1"/>
    <col min="10498" max="10498" width="14.140625" style="957" customWidth="1"/>
    <col min="10499" max="10499" width="12.85546875" style="957" customWidth="1"/>
    <col min="10500" max="10500" width="11.42578125" style="957" customWidth="1"/>
    <col min="10501" max="10750" width="11.42578125" style="957"/>
    <col min="10751" max="10751" width="13.5703125" style="957" customWidth="1"/>
    <col min="10752" max="10752" width="14.28515625" style="957" bestFit="1" customWidth="1"/>
    <col min="10753" max="10753" width="13.5703125" style="957" customWidth="1"/>
    <col min="10754" max="10754" width="14.140625" style="957" customWidth="1"/>
    <col min="10755" max="10755" width="12.85546875" style="957" customWidth="1"/>
    <col min="10756" max="10756" width="11.42578125" style="957" customWidth="1"/>
    <col min="10757" max="11006" width="11.42578125" style="957"/>
    <col min="11007" max="11007" width="13.5703125" style="957" customWidth="1"/>
    <col min="11008" max="11008" width="14.28515625" style="957" bestFit="1" customWidth="1"/>
    <col min="11009" max="11009" width="13.5703125" style="957" customWidth="1"/>
    <col min="11010" max="11010" width="14.140625" style="957" customWidth="1"/>
    <col min="11011" max="11011" width="12.85546875" style="957" customWidth="1"/>
    <col min="11012" max="11012" width="11.42578125" style="957" customWidth="1"/>
    <col min="11013" max="11262" width="11.42578125" style="957"/>
    <col min="11263" max="11263" width="13.5703125" style="957" customWidth="1"/>
    <col min="11264" max="11264" width="14.28515625" style="957" bestFit="1" customWidth="1"/>
    <col min="11265" max="11265" width="13.5703125" style="957" customWidth="1"/>
    <col min="11266" max="11266" width="14.140625" style="957" customWidth="1"/>
    <col min="11267" max="11267" width="12.85546875" style="957" customWidth="1"/>
    <col min="11268" max="11268" width="11.42578125" style="957" customWidth="1"/>
    <col min="11269" max="11518" width="11.42578125" style="957"/>
    <col min="11519" max="11519" width="13.5703125" style="957" customWidth="1"/>
    <col min="11520" max="11520" width="14.28515625" style="957" bestFit="1" customWidth="1"/>
    <col min="11521" max="11521" width="13.5703125" style="957" customWidth="1"/>
    <col min="11522" max="11522" width="14.140625" style="957" customWidth="1"/>
    <col min="11523" max="11523" width="12.85546875" style="957" customWidth="1"/>
    <col min="11524" max="11524" width="11.42578125" style="957" customWidth="1"/>
    <col min="11525" max="11774" width="11.42578125" style="957"/>
    <col min="11775" max="11775" width="13.5703125" style="957" customWidth="1"/>
    <col min="11776" max="11776" width="14.28515625" style="957" bestFit="1" customWidth="1"/>
    <col min="11777" max="11777" width="13.5703125" style="957" customWidth="1"/>
    <col min="11778" max="11778" width="14.140625" style="957" customWidth="1"/>
    <col min="11779" max="11779" width="12.85546875" style="957" customWidth="1"/>
    <col min="11780" max="11780" width="11.42578125" style="957" customWidth="1"/>
    <col min="11781" max="12030" width="11.42578125" style="957"/>
    <col min="12031" max="12031" width="13.5703125" style="957" customWidth="1"/>
    <col min="12032" max="12032" width="14.28515625" style="957" bestFit="1" customWidth="1"/>
    <col min="12033" max="12033" width="13.5703125" style="957" customWidth="1"/>
    <col min="12034" max="12034" width="14.140625" style="957" customWidth="1"/>
    <col min="12035" max="12035" width="12.85546875" style="957" customWidth="1"/>
    <col min="12036" max="12036" width="11.42578125" style="957" customWidth="1"/>
    <col min="12037" max="12286" width="11.42578125" style="957"/>
    <col min="12287" max="12287" width="13.5703125" style="957" customWidth="1"/>
    <col min="12288" max="12288" width="14.28515625" style="957" bestFit="1" customWidth="1"/>
    <col min="12289" max="12289" width="13.5703125" style="957" customWidth="1"/>
    <col min="12290" max="12290" width="14.140625" style="957" customWidth="1"/>
    <col min="12291" max="12291" width="12.85546875" style="957" customWidth="1"/>
    <col min="12292" max="12292" width="11.42578125" style="957" customWidth="1"/>
    <col min="12293" max="12542" width="11.42578125" style="957"/>
    <col min="12543" max="12543" width="13.5703125" style="957" customWidth="1"/>
    <col min="12544" max="12544" width="14.28515625" style="957" bestFit="1" customWidth="1"/>
    <col min="12545" max="12545" width="13.5703125" style="957" customWidth="1"/>
    <col min="12546" max="12546" width="14.140625" style="957" customWidth="1"/>
    <col min="12547" max="12547" width="12.85546875" style="957" customWidth="1"/>
    <col min="12548" max="12548" width="11.42578125" style="957" customWidth="1"/>
    <col min="12549" max="12798" width="11.42578125" style="957"/>
    <col min="12799" max="12799" width="13.5703125" style="957" customWidth="1"/>
    <col min="12800" max="12800" width="14.28515625" style="957" bestFit="1" customWidth="1"/>
    <col min="12801" max="12801" width="13.5703125" style="957" customWidth="1"/>
    <col min="12802" max="12802" width="14.140625" style="957" customWidth="1"/>
    <col min="12803" max="12803" width="12.85546875" style="957" customWidth="1"/>
    <col min="12804" max="12804" width="11.42578125" style="957" customWidth="1"/>
    <col min="12805" max="13054" width="11.42578125" style="957"/>
    <col min="13055" max="13055" width="13.5703125" style="957" customWidth="1"/>
    <col min="13056" max="13056" width="14.28515625" style="957" bestFit="1" customWidth="1"/>
    <col min="13057" max="13057" width="13.5703125" style="957" customWidth="1"/>
    <col min="13058" max="13058" width="14.140625" style="957" customWidth="1"/>
    <col min="13059" max="13059" width="12.85546875" style="957" customWidth="1"/>
    <col min="13060" max="13060" width="11.42578125" style="957" customWidth="1"/>
    <col min="13061" max="13310" width="11.42578125" style="957"/>
    <col min="13311" max="13311" width="13.5703125" style="957" customWidth="1"/>
    <col min="13312" max="13312" width="14.28515625" style="957" bestFit="1" customWidth="1"/>
    <col min="13313" max="13313" width="13.5703125" style="957" customWidth="1"/>
    <col min="13314" max="13314" width="14.140625" style="957" customWidth="1"/>
    <col min="13315" max="13315" width="12.85546875" style="957" customWidth="1"/>
    <col min="13316" max="13316" width="11.42578125" style="957" customWidth="1"/>
    <col min="13317" max="13566" width="11.42578125" style="957"/>
    <col min="13567" max="13567" width="13.5703125" style="957" customWidth="1"/>
    <col min="13568" max="13568" width="14.28515625" style="957" bestFit="1" customWidth="1"/>
    <col min="13569" max="13569" width="13.5703125" style="957" customWidth="1"/>
    <col min="13570" max="13570" width="14.140625" style="957" customWidth="1"/>
    <col min="13571" max="13571" width="12.85546875" style="957" customWidth="1"/>
    <col min="13572" max="13572" width="11.42578125" style="957" customWidth="1"/>
    <col min="13573" max="13822" width="11.42578125" style="957"/>
    <col min="13823" max="13823" width="13.5703125" style="957" customWidth="1"/>
    <col min="13824" max="13824" width="14.28515625" style="957" bestFit="1" customWidth="1"/>
    <col min="13825" max="13825" width="13.5703125" style="957" customWidth="1"/>
    <col min="13826" max="13826" width="14.140625" style="957" customWidth="1"/>
    <col min="13827" max="13827" width="12.85546875" style="957" customWidth="1"/>
    <col min="13828" max="13828" width="11.42578125" style="957" customWidth="1"/>
    <col min="13829" max="14078" width="11.42578125" style="957"/>
    <col min="14079" max="14079" width="13.5703125" style="957" customWidth="1"/>
    <col min="14080" max="14080" width="14.28515625" style="957" bestFit="1" customWidth="1"/>
    <col min="14081" max="14081" width="13.5703125" style="957" customWidth="1"/>
    <col min="14082" max="14082" width="14.140625" style="957" customWidth="1"/>
    <col min="14083" max="14083" width="12.85546875" style="957" customWidth="1"/>
    <col min="14084" max="14084" width="11.42578125" style="957" customWidth="1"/>
    <col min="14085" max="14334" width="11.42578125" style="957"/>
    <col min="14335" max="14335" width="13.5703125" style="957" customWidth="1"/>
    <col min="14336" max="14336" width="14.28515625" style="957" bestFit="1" customWidth="1"/>
    <col min="14337" max="14337" width="13.5703125" style="957" customWidth="1"/>
    <col min="14338" max="14338" width="14.140625" style="957" customWidth="1"/>
    <col min="14339" max="14339" width="12.85546875" style="957" customWidth="1"/>
    <col min="14340" max="14340" width="11.42578125" style="957" customWidth="1"/>
    <col min="14341" max="14590" width="11.42578125" style="957"/>
    <col min="14591" max="14591" width="13.5703125" style="957" customWidth="1"/>
    <col min="14592" max="14592" width="14.28515625" style="957" bestFit="1" customWidth="1"/>
    <col min="14593" max="14593" width="13.5703125" style="957" customWidth="1"/>
    <col min="14594" max="14594" width="14.140625" style="957" customWidth="1"/>
    <col min="14595" max="14595" width="12.85546875" style="957" customWidth="1"/>
    <col min="14596" max="14596" width="11.42578125" style="957" customWidth="1"/>
    <col min="14597" max="14846" width="11.42578125" style="957"/>
    <col min="14847" max="14847" width="13.5703125" style="957" customWidth="1"/>
    <col min="14848" max="14848" width="14.28515625" style="957" bestFit="1" customWidth="1"/>
    <col min="14849" max="14849" width="13.5703125" style="957" customWidth="1"/>
    <col min="14850" max="14850" width="14.140625" style="957" customWidth="1"/>
    <col min="14851" max="14851" width="12.85546875" style="957" customWidth="1"/>
    <col min="14852" max="14852" width="11.42578125" style="957" customWidth="1"/>
    <col min="14853" max="15102" width="11.42578125" style="957"/>
    <col min="15103" max="15103" width="13.5703125" style="957" customWidth="1"/>
    <col min="15104" max="15104" width="14.28515625" style="957" bestFit="1" customWidth="1"/>
    <col min="15105" max="15105" width="13.5703125" style="957" customWidth="1"/>
    <col min="15106" max="15106" width="14.140625" style="957" customWidth="1"/>
    <col min="15107" max="15107" width="12.85546875" style="957" customWidth="1"/>
    <col min="15108" max="15108" width="11.42578125" style="957" customWidth="1"/>
    <col min="15109" max="15358" width="11.42578125" style="957"/>
    <col min="15359" max="15359" width="13.5703125" style="957" customWidth="1"/>
    <col min="15360" max="15360" width="14.28515625" style="957" bestFit="1" customWidth="1"/>
    <col min="15361" max="15361" width="13.5703125" style="957" customWidth="1"/>
    <col min="15362" max="15362" width="14.140625" style="957" customWidth="1"/>
    <col min="15363" max="15363" width="12.85546875" style="957" customWidth="1"/>
    <col min="15364" max="15364" width="11.42578125" style="957" customWidth="1"/>
    <col min="15365" max="15614" width="11.42578125" style="957"/>
    <col min="15615" max="15615" width="13.5703125" style="957" customWidth="1"/>
    <col min="15616" max="15616" width="14.28515625" style="957" bestFit="1" customWidth="1"/>
    <col min="15617" max="15617" width="13.5703125" style="957" customWidth="1"/>
    <col min="15618" max="15618" width="14.140625" style="957" customWidth="1"/>
    <col min="15619" max="15619" width="12.85546875" style="957" customWidth="1"/>
    <col min="15620" max="15620" width="11.42578125" style="957" customWidth="1"/>
    <col min="15621" max="15870" width="11.42578125" style="957"/>
    <col min="15871" max="15871" width="13.5703125" style="957" customWidth="1"/>
    <col min="15872" max="15872" width="14.28515625" style="957" bestFit="1" customWidth="1"/>
    <col min="15873" max="15873" width="13.5703125" style="957" customWidth="1"/>
    <col min="15874" max="15874" width="14.140625" style="957" customWidth="1"/>
    <col min="15875" max="15875" width="12.85546875" style="957" customWidth="1"/>
    <col min="15876" max="15876" width="11.42578125" style="957" customWidth="1"/>
    <col min="15877" max="16126" width="11.42578125" style="957"/>
    <col min="16127" max="16127" width="13.5703125" style="957" customWidth="1"/>
    <col min="16128" max="16128" width="14.28515625" style="957" bestFit="1" customWidth="1"/>
    <col min="16129" max="16129" width="13.5703125" style="957" customWidth="1"/>
    <col min="16130" max="16130" width="14.140625" style="957" customWidth="1"/>
    <col min="16131" max="16131" width="12.85546875" style="957" customWidth="1"/>
    <col min="16132" max="16132" width="11.42578125" style="957" customWidth="1"/>
    <col min="16133" max="16384" width="11.42578125" style="957"/>
  </cols>
  <sheetData>
    <row r="1" spans="1:8" ht="15.75">
      <c r="A1" s="956" t="s">
        <v>344</v>
      </c>
      <c r="B1" s="956"/>
      <c r="C1" s="956"/>
    </row>
    <row r="2" spans="1:8" ht="18.75">
      <c r="A2" s="956" t="s">
        <v>345</v>
      </c>
      <c r="B2" s="958"/>
      <c r="C2" s="958"/>
    </row>
    <row r="3" spans="1:8" ht="15.75">
      <c r="A3" s="956"/>
      <c r="B3" s="958"/>
      <c r="C3" s="958"/>
    </row>
    <row r="4" spans="1:8" ht="45" customHeight="1">
      <c r="A4" s="1301" t="s">
        <v>276</v>
      </c>
      <c r="B4" s="1302" t="s">
        <v>346</v>
      </c>
      <c r="C4" s="959" t="s">
        <v>347</v>
      </c>
      <c r="D4" s="959" t="s">
        <v>348</v>
      </c>
      <c r="E4" s="959" t="s">
        <v>8</v>
      </c>
      <c r="F4" s="960" t="s">
        <v>349</v>
      </c>
      <c r="G4" s="1304" t="s">
        <v>350</v>
      </c>
      <c r="H4" s="961"/>
    </row>
    <row r="5" spans="1:8" ht="17.25" customHeight="1">
      <c r="A5" s="1301"/>
      <c r="B5" s="1303"/>
      <c r="C5" s="1306" t="s">
        <v>31</v>
      </c>
      <c r="D5" s="1306"/>
      <c r="E5" s="1306" t="s">
        <v>116</v>
      </c>
      <c r="F5" s="1306"/>
      <c r="G5" s="1305"/>
      <c r="H5" s="961"/>
    </row>
    <row r="6" spans="1:8" ht="38.25" customHeight="1">
      <c r="A6" s="962" t="s">
        <v>351</v>
      </c>
      <c r="B6" s="963" t="s">
        <v>44</v>
      </c>
      <c r="C6" s="964">
        <v>102</v>
      </c>
      <c r="D6" s="965">
        <v>6</v>
      </c>
      <c r="E6" s="966">
        <v>33183</v>
      </c>
      <c r="F6" s="966">
        <v>18373</v>
      </c>
      <c r="G6" s="966">
        <f>F6/$F$11*100</f>
        <v>27.546553120033586</v>
      </c>
      <c r="H6" s="967"/>
    </row>
    <row r="7" spans="1:8" ht="38.25" customHeight="1">
      <c r="A7" s="968" t="s">
        <v>89</v>
      </c>
      <c r="B7" s="963" t="s">
        <v>44</v>
      </c>
      <c r="C7" s="964">
        <v>116</v>
      </c>
      <c r="D7" s="969">
        <v>15</v>
      </c>
      <c r="E7" s="970">
        <v>230711</v>
      </c>
      <c r="F7" s="966">
        <v>48325</v>
      </c>
      <c r="G7" s="966">
        <f>F7/$F$11*100</f>
        <v>72.453446879966421</v>
      </c>
      <c r="H7" s="967"/>
    </row>
    <row r="8" spans="1:8" ht="38.25" customHeight="1">
      <c r="A8" s="1300" t="s">
        <v>30</v>
      </c>
      <c r="B8" s="963" t="s">
        <v>352</v>
      </c>
      <c r="C8" s="964">
        <v>105</v>
      </c>
      <c r="D8" s="969">
        <v>11</v>
      </c>
      <c r="E8" s="970">
        <v>25634</v>
      </c>
      <c r="F8" s="966">
        <v>9567</v>
      </c>
      <c r="G8" s="966">
        <f>F8/$F$11*100</f>
        <v>14.343758433536239</v>
      </c>
      <c r="H8" s="967"/>
    </row>
    <row r="9" spans="1:8" ht="38.25" customHeight="1">
      <c r="A9" s="1300"/>
      <c r="B9" s="963" t="s">
        <v>353</v>
      </c>
      <c r="C9" s="964">
        <v>26</v>
      </c>
      <c r="D9" s="969">
        <v>5</v>
      </c>
      <c r="E9" s="970">
        <v>37891</v>
      </c>
      <c r="F9" s="966">
        <v>12898</v>
      </c>
      <c r="G9" s="966">
        <f>F9/$F$11*100</f>
        <v>19.33791118174458</v>
      </c>
      <c r="H9" s="967"/>
    </row>
    <row r="10" spans="1:8" ht="38.25" customHeight="1">
      <c r="A10" s="1300"/>
      <c r="B10" s="963" t="s">
        <v>354</v>
      </c>
      <c r="C10" s="964">
        <v>87</v>
      </c>
      <c r="D10" s="969">
        <v>5</v>
      </c>
      <c r="E10" s="970">
        <v>200374</v>
      </c>
      <c r="F10" s="966">
        <v>44233</v>
      </c>
      <c r="G10" s="966">
        <f>F10/$F$11*100</f>
        <v>66.318330384719175</v>
      </c>
      <c r="H10" s="967"/>
    </row>
    <row r="11" spans="1:8">
      <c r="A11" s="1300"/>
      <c r="B11" s="971" t="s">
        <v>330</v>
      </c>
      <c r="C11" s="972">
        <f>SUM(C8,C9,C10)</f>
        <v>218</v>
      </c>
      <c r="D11" s="972">
        <f>SUM(D8,D9,D10)</f>
        <v>21</v>
      </c>
      <c r="E11" s="973">
        <f>SUM(E8,E9,E10)</f>
        <v>263899</v>
      </c>
      <c r="F11" s="973">
        <f>SUM(F8,F9,F10)</f>
        <v>66698</v>
      </c>
      <c r="G11" s="974"/>
      <c r="H11" s="967"/>
    </row>
    <row r="12" spans="1:8" ht="9" customHeight="1">
      <c r="A12" s="975"/>
      <c r="B12" s="975"/>
      <c r="C12" s="976"/>
      <c r="D12" s="977"/>
      <c r="E12" s="967"/>
      <c r="F12" s="967"/>
      <c r="G12" s="975"/>
      <c r="H12" s="975"/>
    </row>
    <row r="13" spans="1:8">
      <c r="A13" s="978" t="s">
        <v>355</v>
      </c>
      <c r="B13" s="978"/>
      <c r="C13" s="978"/>
      <c r="D13" s="978"/>
      <c r="E13" s="978"/>
      <c r="F13" s="978"/>
    </row>
  </sheetData>
  <mergeCells count="6">
    <mergeCell ref="A8:A11"/>
    <mergeCell ref="A4:A5"/>
    <mergeCell ref="B4:B5"/>
    <mergeCell ref="G4:G5"/>
    <mergeCell ref="C5:D5"/>
    <mergeCell ref="E5:F5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showGridLines="0" zoomScaleNormal="100" workbookViewId="0">
      <selection activeCell="A53" sqref="A53:B53"/>
    </sheetView>
  </sheetViews>
  <sheetFormatPr baseColWidth="10" defaultRowHeight="15"/>
  <cols>
    <col min="1" max="2" width="11.42578125" style="980"/>
    <col min="3" max="3" width="12.42578125" style="980" bestFit="1" customWidth="1"/>
    <col min="4" max="4" width="9.5703125" style="980" customWidth="1"/>
    <col min="5" max="6" width="11.42578125" style="980"/>
    <col min="7" max="7" width="12.28515625" style="980" bestFit="1" customWidth="1"/>
    <col min="8" max="8" width="9.7109375" style="980" customWidth="1"/>
    <col min="9" max="9" width="10.5703125" style="980" bestFit="1" customWidth="1"/>
    <col min="10" max="253" width="11.42578125" style="980"/>
    <col min="254" max="254" width="12.42578125" style="980" bestFit="1" customWidth="1"/>
    <col min="255" max="255" width="9.5703125" style="980" customWidth="1"/>
    <col min="256" max="257" width="11.42578125" style="980"/>
    <col min="258" max="258" width="12.28515625" style="980" bestFit="1" customWidth="1"/>
    <col min="259" max="259" width="9.7109375" style="980" customWidth="1"/>
    <col min="260" max="260" width="10.140625" style="980" bestFit="1" customWidth="1"/>
    <col min="261" max="261" width="4.42578125" style="980" customWidth="1"/>
    <col min="262" max="262" width="3.140625" style="980" customWidth="1"/>
    <col min="263" max="263" width="3" style="980" customWidth="1"/>
    <col min="264" max="264" width="3" style="980" bestFit="1" customWidth="1"/>
    <col min="265" max="265" width="2.85546875" style="980" customWidth="1"/>
    <col min="266" max="509" width="11.42578125" style="980"/>
    <col min="510" max="510" width="12.42578125" style="980" bestFit="1" customWidth="1"/>
    <col min="511" max="511" width="9.5703125" style="980" customWidth="1"/>
    <col min="512" max="513" width="11.42578125" style="980"/>
    <col min="514" max="514" width="12.28515625" style="980" bestFit="1" customWidth="1"/>
    <col min="515" max="515" width="9.7109375" style="980" customWidth="1"/>
    <col min="516" max="516" width="10.140625" style="980" bestFit="1" customWidth="1"/>
    <col min="517" max="517" width="4.42578125" style="980" customWidth="1"/>
    <col min="518" max="518" width="3.140625" style="980" customWidth="1"/>
    <col min="519" max="519" width="3" style="980" customWidth="1"/>
    <col min="520" max="520" width="3" style="980" bestFit="1" customWidth="1"/>
    <col min="521" max="521" width="2.85546875" style="980" customWidth="1"/>
    <col min="522" max="765" width="11.42578125" style="980"/>
    <col min="766" max="766" width="12.42578125" style="980" bestFit="1" customWidth="1"/>
    <col min="767" max="767" width="9.5703125" style="980" customWidth="1"/>
    <col min="768" max="769" width="11.42578125" style="980"/>
    <col min="770" max="770" width="12.28515625" style="980" bestFit="1" customWidth="1"/>
    <col min="771" max="771" width="9.7109375" style="980" customWidth="1"/>
    <col min="772" max="772" width="10.140625" style="980" bestFit="1" customWidth="1"/>
    <col min="773" max="773" width="4.42578125" style="980" customWidth="1"/>
    <col min="774" max="774" width="3.140625" style="980" customWidth="1"/>
    <col min="775" max="775" width="3" style="980" customWidth="1"/>
    <col min="776" max="776" width="3" style="980" bestFit="1" customWidth="1"/>
    <col min="777" max="777" width="2.85546875" style="980" customWidth="1"/>
    <col min="778" max="1021" width="11.42578125" style="980"/>
    <col min="1022" max="1022" width="12.42578125" style="980" bestFit="1" customWidth="1"/>
    <col min="1023" max="1023" width="9.5703125" style="980" customWidth="1"/>
    <col min="1024" max="1025" width="11.42578125" style="980"/>
    <col min="1026" max="1026" width="12.28515625" style="980" bestFit="1" customWidth="1"/>
    <col min="1027" max="1027" width="9.7109375" style="980" customWidth="1"/>
    <col min="1028" max="1028" width="10.140625" style="980" bestFit="1" customWidth="1"/>
    <col min="1029" max="1029" width="4.42578125" style="980" customWidth="1"/>
    <col min="1030" max="1030" width="3.140625" style="980" customWidth="1"/>
    <col min="1031" max="1031" width="3" style="980" customWidth="1"/>
    <col min="1032" max="1032" width="3" style="980" bestFit="1" customWidth="1"/>
    <col min="1033" max="1033" width="2.85546875" style="980" customWidth="1"/>
    <col min="1034" max="1277" width="11.42578125" style="980"/>
    <col min="1278" max="1278" width="12.42578125" style="980" bestFit="1" customWidth="1"/>
    <col min="1279" max="1279" width="9.5703125" style="980" customWidth="1"/>
    <col min="1280" max="1281" width="11.42578125" style="980"/>
    <col min="1282" max="1282" width="12.28515625" style="980" bestFit="1" customWidth="1"/>
    <col min="1283" max="1283" width="9.7109375" style="980" customWidth="1"/>
    <col min="1284" max="1284" width="10.140625" style="980" bestFit="1" customWidth="1"/>
    <col min="1285" max="1285" width="4.42578125" style="980" customWidth="1"/>
    <col min="1286" max="1286" width="3.140625" style="980" customWidth="1"/>
    <col min="1287" max="1287" width="3" style="980" customWidth="1"/>
    <col min="1288" max="1288" width="3" style="980" bestFit="1" customWidth="1"/>
    <col min="1289" max="1289" width="2.85546875" style="980" customWidth="1"/>
    <col min="1290" max="1533" width="11.42578125" style="980"/>
    <col min="1534" max="1534" width="12.42578125" style="980" bestFit="1" customWidth="1"/>
    <col min="1535" max="1535" width="9.5703125" style="980" customWidth="1"/>
    <col min="1536" max="1537" width="11.42578125" style="980"/>
    <col min="1538" max="1538" width="12.28515625" style="980" bestFit="1" customWidth="1"/>
    <col min="1539" max="1539" width="9.7109375" style="980" customWidth="1"/>
    <col min="1540" max="1540" width="10.140625" style="980" bestFit="1" customWidth="1"/>
    <col min="1541" max="1541" width="4.42578125" style="980" customWidth="1"/>
    <col min="1542" max="1542" width="3.140625" style="980" customWidth="1"/>
    <col min="1543" max="1543" width="3" style="980" customWidth="1"/>
    <col min="1544" max="1544" width="3" style="980" bestFit="1" customWidth="1"/>
    <col min="1545" max="1545" width="2.85546875" style="980" customWidth="1"/>
    <col min="1546" max="1789" width="11.42578125" style="980"/>
    <col min="1790" max="1790" width="12.42578125" style="980" bestFit="1" customWidth="1"/>
    <col min="1791" max="1791" width="9.5703125" style="980" customWidth="1"/>
    <col min="1792" max="1793" width="11.42578125" style="980"/>
    <col min="1794" max="1794" width="12.28515625" style="980" bestFit="1" customWidth="1"/>
    <col min="1795" max="1795" width="9.7109375" style="980" customWidth="1"/>
    <col min="1796" max="1796" width="10.140625" style="980" bestFit="1" customWidth="1"/>
    <col min="1797" max="1797" width="4.42578125" style="980" customWidth="1"/>
    <col min="1798" max="1798" width="3.140625" style="980" customWidth="1"/>
    <col min="1799" max="1799" width="3" style="980" customWidth="1"/>
    <col min="1800" max="1800" width="3" style="980" bestFit="1" customWidth="1"/>
    <col min="1801" max="1801" width="2.85546875" style="980" customWidth="1"/>
    <col min="1802" max="2045" width="11.42578125" style="980"/>
    <col min="2046" max="2046" width="12.42578125" style="980" bestFit="1" customWidth="1"/>
    <col min="2047" max="2047" width="9.5703125" style="980" customWidth="1"/>
    <col min="2048" max="2049" width="11.42578125" style="980"/>
    <col min="2050" max="2050" width="12.28515625" style="980" bestFit="1" customWidth="1"/>
    <col min="2051" max="2051" width="9.7109375" style="980" customWidth="1"/>
    <col min="2052" max="2052" width="10.140625" style="980" bestFit="1" customWidth="1"/>
    <col min="2053" max="2053" width="4.42578125" style="980" customWidth="1"/>
    <col min="2054" max="2054" width="3.140625" style="980" customWidth="1"/>
    <col min="2055" max="2055" width="3" style="980" customWidth="1"/>
    <col min="2056" max="2056" width="3" style="980" bestFit="1" customWidth="1"/>
    <col min="2057" max="2057" width="2.85546875" style="980" customWidth="1"/>
    <col min="2058" max="2301" width="11.42578125" style="980"/>
    <col min="2302" max="2302" width="12.42578125" style="980" bestFit="1" customWidth="1"/>
    <col min="2303" max="2303" width="9.5703125" style="980" customWidth="1"/>
    <col min="2304" max="2305" width="11.42578125" style="980"/>
    <col min="2306" max="2306" width="12.28515625" style="980" bestFit="1" customWidth="1"/>
    <col min="2307" max="2307" width="9.7109375" style="980" customWidth="1"/>
    <col min="2308" max="2308" width="10.140625" style="980" bestFit="1" customWidth="1"/>
    <col min="2309" max="2309" width="4.42578125" style="980" customWidth="1"/>
    <col min="2310" max="2310" width="3.140625" style="980" customWidth="1"/>
    <col min="2311" max="2311" width="3" style="980" customWidth="1"/>
    <col min="2312" max="2312" width="3" style="980" bestFit="1" customWidth="1"/>
    <col min="2313" max="2313" width="2.85546875" style="980" customWidth="1"/>
    <col min="2314" max="2557" width="11.42578125" style="980"/>
    <col min="2558" max="2558" width="12.42578125" style="980" bestFit="1" customWidth="1"/>
    <col min="2559" max="2559" width="9.5703125" style="980" customWidth="1"/>
    <col min="2560" max="2561" width="11.42578125" style="980"/>
    <col min="2562" max="2562" width="12.28515625" style="980" bestFit="1" customWidth="1"/>
    <col min="2563" max="2563" width="9.7109375" style="980" customWidth="1"/>
    <col min="2564" max="2564" width="10.140625" style="980" bestFit="1" customWidth="1"/>
    <col min="2565" max="2565" width="4.42578125" style="980" customWidth="1"/>
    <col min="2566" max="2566" width="3.140625" style="980" customWidth="1"/>
    <col min="2567" max="2567" width="3" style="980" customWidth="1"/>
    <col min="2568" max="2568" width="3" style="980" bestFit="1" customWidth="1"/>
    <col min="2569" max="2569" width="2.85546875" style="980" customWidth="1"/>
    <col min="2570" max="2813" width="11.42578125" style="980"/>
    <col min="2814" max="2814" width="12.42578125" style="980" bestFit="1" customWidth="1"/>
    <col min="2815" max="2815" width="9.5703125" style="980" customWidth="1"/>
    <col min="2816" max="2817" width="11.42578125" style="980"/>
    <col min="2818" max="2818" width="12.28515625" style="980" bestFit="1" customWidth="1"/>
    <col min="2819" max="2819" width="9.7109375" style="980" customWidth="1"/>
    <col min="2820" max="2820" width="10.140625" style="980" bestFit="1" customWidth="1"/>
    <col min="2821" max="2821" width="4.42578125" style="980" customWidth="1"/>
    <col min="2822" max="2822" width="3.140625" style="980" customWidth="1"/>
    <col min="2823" max="2823" width="3" style="980" customWidth="1"/>
    <col min="2824" max="2824" width="3" style="980" bestFit="1" customWidth="1"/>
    <col min="2825" max="2825" width="2.85546875" style="980" customWidth="1"/>
    <col min="2826" max="3069" width="11.42578125" style="980"/>
    <col min="3070" max="3070" width="12.42578125" style="980" bestFit="1" customWidth="1"/>
    <col min="3071" max="3071" width="9.5703125" style="980" customWidth="1"/>
    <col min="3072" max="3073" width="11.42578125" style="980"/>
    <col min="3074" max="3074" width="12.28515625" style="980" bestFit="1" customWidth="1"/>
    <col min="3075" max="3075" width="9.7109375" style="980" customWidth="1"/>
    <col min="3076" max="3076" width="10.140625" style="980" bestFit="1" customWidth="1"/>
    <col min="3077" max="3077" width="4.42578125" style="980" customWidth="1"/>
    <col min="3078" max="3078" width="3.140625" style="980" customWidth="1"/>
    <col min="3079" max="3079" width="3" style="980" customWidth="1"/>
    <col min="3080" max="3080" width="3" style="980" bestFit="1" customWidth="1"/>
    <col min="3081" max="3081" width="2.85546875" style="980" customWidth="1"/>
    <col min="3082" max="3325" width="11.42578125" style="980"/>
    <col min="3326" max="3326" width="12.42578125" style="980" bestFit="1" customWidth="1"/>
    <col min="3327" max="3327" width="9.5703125" style="980" customWidth="1"/>
    <col min="3328" max="3329" width="11.42578125" style="980"/>
    <col min="3330" max="3330" width="12.28515625" style="980" bestFit="1" customWidth="1"/>
    <col min="3331" max="3331" width="9.7109375" style="980" customWidth="1"/>
    <col min="3332" max="3332" width="10.140625" style="980" bestFit="1" customWidth="1"/>
    <col min="3333" max="3333" width="4.42578125" style="980" customWidth="1"/>
    <col min="3334" max="3334" width="3.140625" style="980" customWidth="1"/>
    <col min="3335" max="3335" width="3" style="980" customWidth="1"/>
    <col min="3336" max="3336" width="3" style="980" bestFit="1" customWidth="1"/>
    <col min="3337" max="3337" width="2.85546875" style="980" customWidth="1"/>
    <col min="3338" max="3581" width="11.42578125" style="980"/>
    <col min="3582" max="3582" width="12.42578125" style="980" bestFit="1" customWidth="1"/>
    <col min="3583" max="3583" width="9.5703125" style="980" customWidth="1"/>
    <col min="3584" max="3585" width="11.42578125" style="980"/>
    <col min="3586" max="3586" width="12.28515625" style="980" bestFit="1" customWidth="1"/>
    <col min="3587" max="3587" width="9.7109375" style="980" customWidth="1"/>
    <col min="3588" max="3588" width="10.140625" style="980" bestFit="1" customWidth="1"/>
    <col min="3589" max="3589" width="4.42578125" style="980" customWidth="1"/>
    <col min="3590" max="3590" width="3.140625" style="980" customWidth="1"/>
    <col min="3591" max="3591" width="3" style="980" customWidth="1"/>
    <col min="3592" max="3592" width="3" style="980" bestFit="1" customWidth="1"/>
    <col min="3593" max="3593" width="2.85546875" style="980" customWidth="1"/>
    <col min="3594" max="3837" width="11.42578125" style="980"/>
    <col min="3838" max="3838" width="12.42578125" style="980" bestFit="1" customWidth="1"/>
    <col min="3839" max="3839" width="9.5703125" style="980" customWidth="1"/>
    <col min="3840" max="3841" width="11.42578125" style="980"/>
    <col min="3842" max="3842" width="12.28515625" style="980" bestFit="1" customWidth="1"/>
    <col min="3843" max="3843" width="9.7109375" style="980" customWidth="1"/>
    <col min="3844" max="3844" width="10.140625" style="980" bestFit="1" customWidth="1"/>
    <col min="3845" max="3845" width="4.42578125" style="980" customWidth="1"/>
    <col min="3846" max="3846" width="3.140625" style="980" customWidth="1"/>
    <col min="3847" max="3847" width="3" style="980" customWidth="1"/>
    <col min="3848" max="3848" width="3" style="980" bestFit="1" customWidth="1"/>
    <col min="3849" max="3849" width="2.85546875" style="980" customWidth="1"/>
    <col min="3850" max="4093" width="11.42578125" style="980"/>
    <col min="4094" max="4094" width="12.42578125" style="980" bestFit="1" customWidth="1"/>
    <col min="4095" max="4095" width="9.5703125" style="980" customWidth="1"/>
    <col min="4096" max="4097" width="11.42578125" style="980"/>
    <col min="4098" max="4098" width="12.28515625" style="980" bestFit="1" customWidth="1"/>
    <col min="4099" max="4099" width="9.7109375" style="980" customWidth="1"/>
    <col min="4100" max="4100" width="10.140625" style="980" bestFit="1" customWidth="1"/>
    <col min="4101" max="4101" width="4.42578125" style="980" customWidth="1"/>
    <col min="4102" max="4102" width="3.140625" style="980" customWidth="1"/>
    <col min="4103" max="4103" width="3" style="980" customWidth="1"/>
    <col min="4104" max="4104" width="3" style="980" bestFit="1" customWidth="1"/>
    <col min="4105" max="4105" width="2.85546875" style="980" customWidth="1"/>
    <col min="4106" max="4349" width="11.42578125" style="980"/>
    <col min="4350" max="4350" width="12.42578125" style="980" bestFit="1" customWidth="1"/>
    <col min="4351" max="4351" width="9.5703125" style="980" customWidth="1"/>
    <col min="4352" max="4353" width="11.42578125" style="980"/>
    <col min="4354" max="4354" width="12.28515625" style="980" bestFit="1" customWidth="1"/>
    <col min="4355" max="4355" width="9.7109375" style="980" customWidth="1"/>
    <col min="4356" max="4356" width="10.140625" style="980" bestFit="1" customWidth="1"/>
    <col min="4357" max="4357" width="4.42578125" style="980" customWidth="1"/>
    <col min="4358" max="4358" width="3.140625" style="980" customWidth="1"/>
    <col min="4359" max="4359" width="3" style="980" customWidth="1"/>
    <col min="4360" max="4360" width="3" style="980" bestFit="1" customWidth="1"/>
    <col min="4361" max="4361" width="2.85546875" style="980" customWidth="1"/>
    <col min="4362" max="4605" width="11.42578125" style="980"/>
    <col min="4606" max="4606" width="12.42578125" style="980" bestFit="1" customWidth="1"/>
    <col min="4607" max="4607" width="9.5703125" style="980" customWidth="1"/>
    <col min="4608" max="4609" width="11.42578125" style="980"/>
    <col min="4610" max="4610" width="12.28515625" style="980" bestFit="1" customWidth="1"/>
    <col min="4611" max="4611" width="9.7109375" style="980" customWidth="1"/>
    <col min="4612" max="4612" width="10.140625" style="980" bestFit="1" customWidth="1"/>
    <col min="4613" max="4613" width="4.42578125" style="980" customWidth="1"/>
    <col min="4614" max="4614" width="3.140625" style="980" customWidth="1"/>
    <col min="4615" max="4615" width="3" style="980" customWidth="1"/>
    <col min="4616" max="4616" width="3" style="980" bestFit="1" customWidth="1"/>
    <col min="4617" max="4617" width="2.85546875" style="980" customWidth="1"/>
    <col min="4618" max="4861" width="11.42578125" style="980"/>
    <col min="4862" max="4862" width="12.42578125" style="980" bestFit="1" customWidth="1"/>
    <col min="4863" max="4863" width="9.5703125" style="980" customWidth="1"/>
    <col min="4864" max="4865" width="11.42578125" style="980"/>
    <col min="4866" max="4866" width="12.28515625" style="980" bestFit="1" customWidth="1"/>
    <col min="4867" max="4867" width="9.7109375" style="980" customWidth="1"/>
    <col min="4868" max="4868" width="10.140625" style="980" bestFit="1" customWidth="1"/>
    <col min="4869" max="4869" width="4.42578125" style="980" customWidth="1"/>
    <col min="4870" max="4870" width="3.140625" style="980" customWidth="1"/>
    <col min="4871" max="4871" width="3" style="980" customWidth="1"/>
    <col min="4872" max="4872" width="3" style="980" bestFit="1" customWidth="1"/>
    <col min="4873" max="4873" width="2.85546875" style="980" customWidth="1"/>
    <col min="4874" max="5117" width="11.42578125" style="980"/>
    <col min="5118" max="5118" width="12.42578125" style="980" bestFit="1" customWidth="1"/>
    <col min="5119" max="5119" width="9.5703125" style="980" customWidth="1"/>
    <col min="5120" max="5121" width="11.42578125" style="980"/>
    <col min="5122" max="5122" width="12.28515625" style="980" bestFit="1" customWidth="1"/>
    <col min="5123" max="5123" width="9.7109375" style="980" customWidth="1"/>
    <col min="5124" max="5124" width="10.140625" style="980" bestFit="1" customWidth="1"/>
    <col min="5125" max="5125" width="4.42578125" style="980" customWidth="1"/>
    <col min="5126" max="5126" width="3.140625" style="980" customWidth="1"/>
    <col min="5127" max="5127" width="3" style="980" customWidth="1"/>
    <col min="5128" max="5128" width="3" style="980" bestFit="1" customWidth="1"/>
    <col min="5129" max="5129" width="2.85546875" style="980" customWidth="1"/>
    <col min="5130" max="5373" width="11.42578125" style="980"/>
    <col min="5374" max="5374" width="12.42578125" style="980" bestFit="1" customWidth="1"/>
    <col min="5375" max="5375" width="9.5703125" style="980" customWidth="1"/>
    <col min="5376" max="5377" width="11.42578125" style="980"/>
    <col min="5378" max="5378" width="12.28515625" style="980" bestFit="1" customWidth="1"/>
    <col min="5379" max="5379" width="9.7109375" style="980" customWidth="1"/>
    <col min="5380" max="5380" width="10.140625" style="980" bestFit="1" customWidth="1"/>
    <col min="5381" max="5381" width="4.42578125" style="980" customWidth="1"/>
    <col min="5382" max="5382" width="3.140625" style="980" customWidth="1"/>
    <col min="5383" max="5383" width="3" style="980" customWidth="1"/>
    <col min="5384" max="5384" width="3" style="980" bestFit="1" customWidth="1"/>
    <col min="5385" max="5385" width="2.85546875" style="980" customWidth="1"/>
    <col min="5386" max="5629" width="11.42578125" style="980"/>
    <col min="5630" max="5630" width="12.42578125" style="980" bestFit="1" customWidth="1"/>
    <col min="5631" max="5631" width="9.5703125" style="980" customWidth="1"/>
    <col min="5632" max="5633" width="11.42578125" style="980"/>
    <col min="5634" max="5634" width="12.28515625" style="980" bestFit="1" customWidth="1"/>
    <col min="5635" max="5635" width="9.7109375" style="980" customWidth="1"/>
    <col min="5636" max="5636" width="10.140625" style="980" bestFit="1" customWidth="1"/>
    <col min="5637" max="5637" width="4.42578125" style="980" customWidth="1"/>
    <col min="5638" max="5638" width="3.140625" style="980" customWidth="1"/>
    <col min="5639" max="5639" width="3" style="980" customWidth="1"/>
    <col min="5640" max="5640" width="3" style="980" bestFit="1" customWidth="1"/>
    <col min="5641" max="5641" width="2.85546875" style="980" customWidth="1"/>
    <col min="5642" max="5885" width="11.42578125" style="980"/>
    <col min="5886" max="5886" width="12.42578125" style="980" bestFit="1" customWidth="1"/>
    <col min="5887" max="5887" width="9.5703125" style="980" customWidth="1"/>
    <col min="5888" max="5889" width="11.42578125" style="980"/>
    <col min="5890" max="5890" width="12.28515625" style="980" bestFit="1" customWidth="1"/>
    <col min="5891" max="5891" width="9.7109375" style="980" customWidth="1"/>
    <col min="5892" max="5892" width="10.140625" style="980" bestFit="1" customWidth="1"/>
    <col min="5893" max="5893" width="4.42578125" style="980" customWidth="1"/>
    <col min="5894" max="5894" width="3.140625" style="980" customWidth="1"/>
    <col min="5895" max="5895" width="3" style="980" customWidth="1"/>
    <col min="5896" max="5896" width="3" style="980" bestFit="1" customWidth="1"/>
    <col min="5897" max="5897" width="2.85546875" style="980" customWidth="1"/>
    <col min="5898" max="6141" width="11.42578125" style="980"/>
    <col min="6142" max="6142" width="12.42578125" style="980" bestFit="1" customWidth="1"/>
    <col min="6143" max="6143" width="9.5703125" style="980" customWidth="1"/>
    <col min="6144" max="6145" width="11.42578125" style="980"/>
    <col min="6146" max="6146" width="12.28515625" style="980" bestFit="1" customWidth="1"/>
    <col min="6147" max="6147" width="9.7109375" style="980" customWidth="1"/>
    <col min="6148" max="6148" width="10.140625" style="980" bestFit="1" customWidth="1"/>
    <col min="6149" max="6149" width="4.42578125" style="980" customWidth="1"/>
    <col min="6150" max="6150" width="3.140625" style="980" customWidth="1"/>
    <col min="6151" max="6151" width="3" style="980" customWidth="1"/>
    <col min="6152" max="6152" width="3" style="980" bestFit="1" customWidth="1"/>
    <col min="6153" max="6153" width="2.85546875" style="980" customWidth="1"/>
    <col min="6154" max="6397" width="11.42578125" style="980"/>
    <col min="6398" max="6398" width="12.42578125" style="980" bestFit="1" customWidth="1"/>
    <col min="6399" max="6399" width="9.5703125" style="980" customWidth="1"/>
    <col min="6400" max="6401" width="11.42578125" style="980"/>
    <col min="6402" max="6402" width="12.28515625" style="980" bestFit="1" customWidth="1"/>
    <col min="6403" max="6403" width="9.7109375" style="980" customWidth="1"/>
    <col min="6404" max="6404" width="10.140625" style="980" bestFit="1" customWidth="1"/>
    <col min="6405" max="6405" width="4.42578125" style="980" customWidth="1"/>
    <col min="6406" max="6406" width="3.140625" style="980" customWidth="1"/>
    <col min="6407" max="6407" width="3" style="980" customWidth="1"/>
    <col min="6408" max="6408" width="3" style="980" bestFit="1" customWidth="1"/>
    <col min="6409" max="6409" width="2.85546875" style="980" customWidth="1"/>
    <col min="6410" max="6653" width="11.42578125" style="980"/>
    <col min="6654" max="6654" width="12.42578125" style="980" bestFit="1" customWidth="1"/>
    <col min="6655" max="6655" width="9.5703125" style="980" customWidth="1"/>
    <col min="6656" max="6657" width="11.42578125" style="980"/>
    <col min="6658" max="6658" width="12.28515625" style="980" bestFit="1" customWidth="1"/>
    <col min="6659" max="6659" width="9.7109375" style="980" customWidth="1"/>
    <col min="6660" max="6660" width="10.140625" style="980" bestFit="1" customWidth="1"/>
    <col min="6661" max="6661" width="4.42578125" style="980" customWidth="1"/>
    <col min="6662" max="6662" width="3.140625" style="980" customWidth="1"/>
    <col min="6663" max="6663" width="3" style="980" customWidth="1"/>
    <col min="6664" max="6664" width="3" style="980" bestFit="1" customWidth="1"/>
    <col min="6665" max="6665" width="2.85546875" style="980" customWidth="1"/>
    <col min="6666" max="6909" width="11.42578125" style="980"/>
    <col min="6910" max="6910" width="12.42578125" style="980" bestFit="1" customWidth="1"/>
    <col min="6911" max="6911" width="9.5703125" style="980" customWidth="1"/>
    <col min="6912" max="6913" width="11.42578125" style="980"/>
    <col min="6914" max="6914" width="12.28515625" style="980" bestFit="1" customWidth="1"/>
    <col min="6915" max="6915" width="9.7109375" style="980" customWidth="1"/>
    <col min="6916" max="6916" width="10.140625" style="980" bestFit="1" customWidth="1"/>
    <col min="6917" max="6917" width="4.42578125" style="980" customWidth="1"/>
    <col min="6918" max="6918" width="3.140625" style="980" customWidth="1"/>
    <col min="6919" max="6919" width="3" style="980" customWidth="1"/>
    <col min="6920" max="6920" width="3" style="980" bestFit="1" customWidth="1"/>
    <col min="6921" max="6921" width="2.85546875" style="980" customWidth="1"/>
    <col min="6922" max="7165" width="11.42578125" style="980"/>
    <col min="7166" max="7166" width="12.42578125" style="980" bestFit="1" customWidth="1"/>
    <col min="7167" max="7167" width="9.5703125" style="980" customWidth="1"/>
    <col min="7168" max="7169" width="11.42578125" style="980"/>
    <col min="7170" max="7170" width="12.28515625" style="980" bestFit="1" customWidth="1"/>
    <col min="7171" max="7171" width="9.7109375" style="980" customWidth="1"/>
    <col min="7172" max="7172" width="10.140625" style="980" bestFit="1" customWidth="1"/>
    <col min="7173" max="7173" width="4.42578125" style="980" customWidth="1"/>
    <col min="7174" max="7174" width="3.140625" style="980" customWidth="1"/>
    <col min="7175" max="7175" width="3" style="980" customWidth="1"/>
    <col min="7176" max="7176" width="3" style="980" bestFit="1" customWidth="1"/>
    <col min="7177" max="7177" width="2.85546875" style="980" customWidth="1"/>
    <col min="7178" max="7421" width="11.42578125" style="980"/>
    <col min="7422" max="7422" width="12.42578125" style="980" bestFit="1" customWidth="1"/>
    <col min="7423" max="7423" width="9.5703125" style="980" customWidth="1"/>
    <col min="7424" max="7425" width="11.42578125" style="980"/>
    <col min="7426" max="7426" width="12.28515625" style="980" bestFit="1" customWidth="1"/>
    <col min="7427" max="7427" width="9.7109375" style="980" customWidth="1"/>
    <col min="7428" max="7428" width="10.140625" style="980" bestFit="1" customWidth="1"/>
    <col min="7429" max="7429" width="4.42578125" style="980" customWidth="1"/>
    <col min="7430" max="7430" width="3.140625" style="980" customWidth="1"/>
    <col min="7431" max="7431" width="3" style="980" customWidth="1"/>
    <col min="7432" max="7432" width="3" style="980" bestFit="1" customWidth="1"/>
    <col min="7433" max="7433" width="2.85546875" style="980" customWidth="1"/>
    <col min="7434" max="7677" width="11.42578125" style="980"/>
    <col min="7678" max="7678" width="12.42578125" style="980" bestFit="1" customWidth="1"/>
    <col min="7679" max="7679" width="9.5703125" style="980" customWidth="1"/>
    <col min="7680" max="7681" width="11.42578125" style="980"/>
    <col min="7682" max="7682" width="12.28515625" style="980" bestFit="1" customWidth="1"/>
    <col min="7683" max="7683" width="9.7109375" style="980" customWidth="1"/>
    <col min="7684" max="7684" width="10.140625" style="980" bestFit="1" customWidth="1"/>
    <col min="7685" max="7685" width="4.42578125" style="980" customWidth="1"/>
    <col min="7686" max="7686" width="3.140625" style="980" customWidth="1"/>
    <col min="7687" max="7687" width="3" style="980" customWidth="1"/>
    <col min="7688" max="7688" width="3" style="980" bestFit="1" customWidth="1"/>
    <col min="7689" max="7689" width="2.85546875" style="980" customWidth="1"/>
    <col min="7690" max="7933" width="11.42578125" style="980"/>
    <col min="7934" max="7934" width="12.42578125" style="980" bestFit="1" customWidth="1"/>
    <col min="7935" max="7935" width="9.5703125" style="980" customWidth="1"/>
    <col min="7936" max="7937" width="11.42578125" style="980"/>
    <col min="7938" max="7938" width="12.28515625" style="980" bestFit="1" customWidth="1"/>
    <col min="7939" max="7939" width="9.7109375" style="980" customWidth="1"/>
    <col min="7940" max="7940" width="10.140625" style="980" bestFit="1" customWidth="1"/>
    <col min="7941" max="7941" width="4.42578125" style="980" customWidth="1"/>
    <col min="7942" max="7942" width="3.140625" style="980" customWidth="1"/>
    <col min="7943" max="7943" width="3" style="980" customWidth="1"/>
    <col min="7944" max="7944" width="3" style="980" bestFit="1" customWidth="1"/>
    <col min="7945" max="7945" width="2.85546875" style="980" customWidth="1"/>
    <col min="7946" max="8189" width="11.42578125" style="980"/>
    <col min="8190" max="8190" width="12.42578125" style="980" bestFit="1" customWidth="1"/>
    <col min="8191" max="8191" width="9.5703125" style="980" customWidth="1"/>
    <col min="8192" max="8193" width="11.42578125" style="980"/>
    <col min="8194" max="8194" width="12.28515625" style="980" bestFit="1" customWidth="1"/>
    <col min="8195" max="8195" width="9.7109375" style="980" customWidth="1"/>
    <col min="8196" max="8196" width="10.140625" style="980" bestFit="1" customWidth="1"/>
    <col min="8197" max="8197" width="4.42578125" style="980" customWidth="1"/>
    <col min="8198" max="8198" width="3.140625" style="980" customWidth="1"/>
    <col min="8199" max="8199" width="3" style="980" customWidth="1"/>
    <col min="8200" max="8200" width="3" style="980" bestFit="1" customWidth="1"/>
    <col min="8201" max="8201" width="2.85546875" style="980" customWidth="1"/>
    <col min="8202" max="8445" width="11.42578125" style="980"/>
    <col min="8446" max="8446" width="12.42578125" style="980" bestFit="1" customWidth="1"/>
    <col min="8447" max="8447" width="9.5703125" style="980" customWidth="1"/>
    <col min="8448" max="8449" width="11.42578125" style="980"/>
    <col min="8450" max="8450" width="12.28515625" style="980" bestFit="1" customWidth="1"/>
    <col min="8451" max="8451" width="9.7109375" style="980" customWidth="1"/>
    <col min="8452" max="8452" width="10.140625" style="980" bestFit="1" customWidth="1"/>
    <col min="8453" max="8453" width="4.42578125" style="980" customWidth="1"/>
    <col min="8454" max="8454" width="3.140625" style="980" customWidth="1"/>
    <col min="8455" max="8455" width="3" style="980" customWidth="1"/>
    <col min="8456" max="8456" width="3" style="980" bestFit="1" customWidth="1"/>
    <col min="8457" max="8457" width="2.85546875" style="980" customWidth="1"/>
    <col min="8458" max="8701" width="11.42578125" style="980"/>
    <col min="8702" max="8702" width="12.42578125" style="980" bestFit="1" customWidth="1"/>
    <col min="8703" max="8703" width="9.5703125" style="980" customWidth="1"/>
    <col min="8704" max="8705" width="11.42578125" style="980"/>
    <col min="8706" max="8706" width="12.28515625" style="980" bestFit="1" customWidth="1"/>
    <col min="8707" max="8707" width="9.7109375" style="980" customWidth="1"/>
    <col min="8708" max="8708" width="10.140625" style="980" bestFit="1" customWidth="1"/>
    <col min="8709" max="8709" width="4.42578125" style="980" customWidth="1"/>
    <col min="8710" max="8710" width="3.140625" style="980" customWidth="1"/>
    <col min="8711" max="8711" width="3" style="980" customWidth="1"/>
    <col min="8712" max="8712" width="3" style="980" bestFit="1" customWidth="1"/>
    <col min="8713" max="8713" width="2.85546875" style="980" customWidth="1"/>
    <col min="8714" max="8957" width="11.42578125" style="980"/>
    <col min="8958" max="8958" width="12.42578125" style="980" bestFit="1" customWidth="1"/>
    <col min="8959" max="8959" width="9.5703125" style="980" customWidth="1"/>
    <col min="8960" max="8961" width="11.42578125" style="980"/>
    <col min="8962" max="8962" width="12.28515625" style="980" bestFit="1" customWidth="1"/>
    <col min="8963" max="8963" width="9.7109375" style="980" customWidth="1"/>
    <col min="8964" max="8964" width="10.140625" style="980" bestFit="1" customWidth="1"/>
    <col min="8965" max="8965" width="4.42578125" style="980" customWidth="1"/>
    <col min="8966" max="8966" width="3.140625" style="980" customWidth="1"/>
    <col min="8967" max="8967" width="3" style="980" customWidth="1"/>
    <col min="8968" max="8968" width="3" style="980" bestFit="1" customWidth="1"/>
    <col min="8969" max="8969" width="2.85546875" style="980" customWidth="1"/>
    <col min="8970" max="9213" width="11.42578125" style="980"/>
    <col min="9214" max="9214" width="12.42578125" style="980" bestFit="1" customWidth="1"/>
    <col min="9215" max="9215" width="9.5703125" style="980" customWidth="1"/>
    <col min="9216" max="9217" width="11.42578125" style="980"/>
    <col min="9218" max="9218" width="12.28515625" style="980" bestFit="1" customWidth="1"/>
    <col min="9219" max="9219" width="9.7109375" style="980" customWidth="1"/>
    <col min="9220" max="9220" width="10.140625" style="980" bestFit="1" customWidth="1"/>
    <col min="9221" max="9221" width="4.42578125" style="980" customWidth="1"/>
    <col min="9222" max="9222" width="3.140625" style="980" customWidth="1"/>
    <col min="9223" max="9223" width="3" style="980" customWidth="1"/>
    <col min="9224" max="9224" width="3" style="980" bestFit="1" customWidth="1"/>
    <col min="9225" max="9225" width="2.85546875" style="980" customWidth="1"/>
    <col min="9226" max="9469" width="11.42578125" style="980"/>
    <col min="9470" max="9470" width="12.42578125" style="980" bestFit="1" customWidth="1"/>
    <col min="9471" max="9471" width="9.5703125" style="980" customWidth="1"/>
    <col min="9472" max="9473" width="11.42578125" style="980"/>
    <col min="9474" max="9474" width="12.28515625" style="980" bestFit="1" customWidth="1"/>
    <col min="9475" max="9475" width="9.7109375" style="980" customWidth="1"/>
    <col min="9476" max="9476" width="10.140625" style="980" bestFit="1" customWidth="1"/>
    <col min="9477" max="9477" width="4.42578125" style="980" customWidth="1"/>
    <col min="9478" max="9478" width="3.140625" style="980" customWidth="1"/>
    <col min="9479" max="9479" width="3" style="980" customWidth="1"/>
    <col min="9480" max="9480" width="3" style="980" bestFit="1" customWidth="1"/>
    <col min="9481" max="9481" width="2.85546875" style="980" customWidth="1"/>
    <col min="9482" max="9725" width="11.42578125" style="980"/>
    <col min="9726" max="9726" width="12.42578125" style="980" bestFit="1" customWidth="1"/>
    <col min="9727" max="9727" width="9.5703125" style="980" customWidth="1"/>
    <col min="9728" max="9729" width="11.42578125" style="980"/>
    <col min="9730" max="9730" width="12.28515625" style="980" bestFit="1" customWidth="1"/>
    <col min="9731" max="9731" width="9.7109375" style="980" customWidth="1"/>
    <col min="9732" max="9732" width="10.140625" style="980" bestFit="1" customWidth="1"/>
    <col min="9733" max="9733" width="4.42578125" style="980" customWidth="1"/>
    <col min="9734" max="9734" width="3.140625" style="980" customWidth="1"/>
    <col min="9735" max="9735" width="3" style="980" customWidth="1"/>
    <col min="9736" max="9736" width="3" style="980" bestFit="1" customWidth="1"/>
    <col min="9737" max="9737" width="2.85546875" style="980" customWidth="1"/>
    <col min="9738" max="9981" width="11.42578125" style="980"/>
    <col min="9982" max="9982" width="12.42578125" style="980" bestFit="1" customWidth="1"/>
    <col min="9983" max="9983" width="9.5703125" style="980" customWidth="1"/>
    <col min="9984" max="9985" width="11.42578125" style="980"/>
    <col min="9986" max="9986" width="12.28515625" style="980" bestFit="1" customWidth="1"/>
    <col min="9987" max="9987" width="9.7109375" style="980" customWidth="1"/>
    <col min="9988" max="9988" width="10.140625" style="980" bestFit="1" customWidth="1"/>
    <col min="9989" max="9989" width="4.42578125" style="980" customWidth="1"/>
    <col min="9990" max="9990" width="3.140625" style="980" customWidth="1"/>
    <col min="9991" max="9991" width="3" style="980" customWidth="1"/>
    <col min="9992" max="9992" width="3" style="980" bestFit="1" customWidth="1"/>
    <col min="9993" max="9993" width="2.85546875" style="980" customWidth="1"/>
    <col min="9994" max="10237" width="11.42578125" style="980"/>
    <col min="10238" max="10238" width="12.42578125" style="980" bestFit="1" customWidth="1"/>
    <col min="10239" max="10239" width="9.5703125" style="980" customWidth="1"/>
    <col min="10240" max="10241" width="11.42578125" style="980"/>
    <col min="10242" max="10242" width="12.28515625" style="980" bestFit="1" customWidth="1"/>
    <col min="10243" max="10243" width="9.7109375" style="980" customWidth="1"/>
    <col min="10244" max="10244" width="10.140625" style="980" bestFit="1" customWidth="1"/>
    <col min="10245" max="10245" width="4.42578125" style="980" customWidth="1"/>
    <col min="10246" max="10246" width="3.140625" style="980" customWidth="1"/>
    <col min="10247" max="10247" width="3" style="980" customWidth="1"/>
    <col min="10248" max="10248" width="3" style="980" bestFit="1" customWidth="1"/>
    <col min="10249" max="10249" width="2.85546875" style="980" customWidth="1"/>
    <col min="10250" max="10493" width="11.42578125" style="980"/>
    <col min="10494" max="10494" width="12.42578125" style="980" bestFit="1" customWidth="1"/>
    <col min="10495" max="10495" width="9.5703125" style="980" customWidth="1"/>
    <col min="10496" max="10497" width="11.42578125" style="980"/>
    <col min="10498" max="10498" width="12.28515625" style="980" bestFit="1" customWidth="1"/>
    <col min="10499" max="10499" width="9.7109375" style="980" customWidth="1"/>
    <col min="10500" max="10500" width="10.140625" style="980" bestFit="1" customWidth="1"/>
    <col min="10501" max="10501" width="4.42578125" style="980" customWidth="1"/>
    <col min="10502" max="10502" width="3.140625" style="980" customWidth="1"/>
    <col min="10503" max="10503" width="3" style="980" customWidth="1"/>
    <col min="10504" max="10504" width="3" style="980" bestFit="1" customWidth="1"/>
    <col min="10505" max="10505" width="2.85546875" style="980" customWidth="1"/>
    <col min="10506" max="10749" width="11.42578125" style="980"/>
    <col min="10750" max="10750" width="12.42578125" style="980" bestFit="1" customWidth="1"/>
    <col min="10751" max="10751" width="9.5703125" style="980" customWidth="1"/>
    <col min="10752" max="10753" width="11.42578125" style="980"/>
    <col min="10754" max="10754" width="12.28515625" style="980" bestFit="1" customWidth="1"/>
    <col min="10755" max="10755" width="9.7109375" style="980" customWidth="1"/>
    <col min="10756" max="10756" width="10.140625" style="980" bestFit="1" customWidth="1"/>
    <col min="10757" max="10757" width="4.42578125" style="980" customWidth="1"/>
    <col min="10758" max="10758" width="3.140625" style="980" customWidth="1"/>
    <col min="10759" max="10759" width="3" style="980" customWidth="1"/>
    <col min="10760" max="10760" width="3" style="980" bestFit="1" customWidth="1"/>
    <col min="10761" max="10761" width="2.85546875" style="980" customWidth="1"/>
    <col min="10762" max="11005" width="11.42578125" style="980"/>
    <col min="11006" max="11006" width="12.42578125" style="980" bestFit="1" customWidth="1"/>
    <col min="11007" max="11007" width="9.5703125" style="980" customWidth="1"/>
    <col min="11008" max="11009" width="11.42578125" style="980"/>
    <col min="11010" max="11010" width="12.28515625" style="980" bestFit="1" customWidth="1"/>
    <col min="11011" max="11011" width="9.7109375" style="980" customWidth="1"/>
    <col min="11012" max="11012" width="10.140625" style="980" bestFit="1" customWidth="1"/>
    <col min="11013" max="11013" width="4.42578125" style="980" customWidth="1"/>
    <col min="11014" max="11014" width="3.140625" style="980" customWidth="1"/>
    <col min="11015" max="11015" width="3" style="980" customWidth="1"/>
    <col min="11016" max="11016" width="3" style="980" bestFit="1" customWidth="1"/>
    <col min="11017" max="11017" width="2.85546875" style="980" customWidth="1"/>
    <col min="11018" max="11261" width="11.42578125" style="980"/>
    <col min="11262" max="11262" width="12.42578125" style="980" bestFit="1" customWidth="1"/>
    <col min="11263" max="11263" width="9.5703125" style="980" customWidth="1"/>
    <col min="11264" max="11265" width="11.42578125" style="980"/>
    <col min="11266" max="11266" width="12.28515625" style="980" bestFit="1" customWidth="1"/>
    <col min="11267" max="11267" width="9.7109375" style="980" customWidth="1"/>
    <col min="11268" max="11268" width="10.140625" style="980" bestFit="1" customWidth="1"/>
    <col min="11269" max="11269" width="4.42578125" style="980" customWidth="1"/>
    <col min="11270" max="11270" width="3.140625" style="980" customWidth="1"/>
    <col min="11271" max="11271" width="3" style="980" customWidth="1"/>
    <col min="11272" max="11272" width="3" style="980" bestFit="1" customWidth="1"/>
    <col min="11273" max="11273" width="2.85546875" style="980" customWidth="1"/>
    <col min="11274" max="11517" width="11.42578125" style="980"/>
    <col min="11518" max="11518" width="12.42578125" style="980" bestFit="1" customWidth="1"/>
    <col min="11519" max="11519" width="9.5703125" style="980" customWidth="1"/>
    <col min="11520" max="11521" width="11.42578125" style="980"/>
    <col min="11522" max="11522" width="12.28515625" style="980" bestFit="1" customWidth="1"/>
    <col min="11523" max="11523" width="9.7109375" style="980" customWidth="1"/>
    <col min="11524" max="11524" width="10.140625" style="980" bestFit="1" customWidth="1"/>
    <col min="11525" max="11525" width="4.42578125" style="980" customWidth="1"/>
    <col min="11526" max="11526" width="3.140625" style="980" customWidth="1"/>
    <col min="11527" max="11527" width="3" style="980" customWidth="1"/>
    <col min="11528" max="11528" width="3" style="980" bestFit="1" customWidth="1"/>
    <col min="11529" max="11529" width="2.85546875" style="980" customWidth="1"/>
    <col min="11530" max="11773" width="11.42578125" style="980"/>
    <col min="11774" max="11774" width="12.42578125" style="980" bestFit="1" customWidth="1"/>
    <col min="11775" max="11775" width="9.5703125" style="980" customWidth="1"/>
    <col min="11776" max="11777" width="11.42578125" style="980"/>
    <col min="11778" max="11778" width="12.28515625" style="980" bestFit="1" customWidth="1"/>
    <col min="11779" max="11779" width="9.7109375" style="980" customWidth="1"/>
    <col min="11780" max="11780" width="10.140625" style="980" bestFit="1" customWidth="1"/>
    <col min="11781" max="11781" width="4.42578125" style="980" customWidth="1"/>
    <col min="11782" max="11782" width="3.140625" style="980" customWidth="1"/>
    <col min="11783" max="11783" width="3" style="980" customWidth="1"/>
    <col min="11784" max="11784" width="3" style="980" bestFit="1" customWidth="1"/>
    <col min="11785" max="11785" width="2.85546875" style="980" customWidth="1"/>
    <col min="11786" max="12029" width="11.42578125" style="980"/>
    <col min="12030" max="12030" width="12.42578125" style="980" bestFit="1" customWidth="1"/>
    <col min="12031" max="12031" width="9.5703125" style="980" customWidth="1"/>
    <col min="12032" max="12033" width="11.42578125" style="980"/>
    <col min="12034" max="12034" width="12.28515625" style="980" bestFit="1" customWidth="1"/>
    <col min="12035" max="12035" width="9.7109375" style="980" customWidth="1"/>
    <col min="12036" max="12036" width="10.140625" style="980" bestFit="1" customWidth="1"/>
    <col min="12037" max="12037" width="4.42578125" style="980" customWidth="1"/>
    <col min="12038" max="12038" width="3.140625" style="980" customWidth="1"/>
    <col min="12039" max="12039" width="3" style="980" customWidth="1"/>
    <col min="12040" max="12040" width="3" style="980" bestFit="1" customWidth="1"/>
    <col min="12041" max="12041" width="2.85546875" style="980" customWidth="1"/>
    <col min="12042" max="12285" width="11.42578125" style="980"/>
    <col min="12286" max="12286" width="12.42578125" style="980" bestFit="1" customWidth="1"/>
    <col min="12287" max="12287" width="9.5703125" style="980" customWidth="1"/>
    <col min="12288" max="12289" width="11.42578125" style="980"/>
    <col min="12290" max="12290" width="12.28515625" style="980" bestFit="1" customWidth="1"/>
    <col min="12291" max="12291" width="9.7109375" style="980" customWidth="1"/>
    <col min="12292" max="12292" width="10.140625" style="980" bestFit="1" customWidth="1"/>
    <col min="12293" max="12293" width="4.42578125" style="980" customWidth="1"/>
    <col min="12294" max="12294" width="3.140625" style="980" customWidth="1"/>
    <col min="12295" max="12295" width="3" style="980" customWidth="1"/>
    <col min="12296" max="12296" width="3" style="980" bestFit="1" customWidth="1"/>
    <col min="12297" max="12297" width="2.85546875" style="980" customWidth="1"/>
    <col min="12298" max="12541" width="11.42578125" style="980"/>
    <col min="12542" max="12542" width="12.42578125" style="980" bestFit="1" customWidth="1"/>
    <col min="12543" max="12543" width="9.5703125" style="980" customWidth="1"/>
    <col min="12544" max="12545" width="11.42578125" style="980"/>
    <col min="12546" max="12546" width="12.28515625" style="980" bestFit="1" customWidth="1"/>
    <col min="12547" max="12547" width="9.7109375" style="980" customWidth="1"/>
    <col min="12548" max="12548" width="10.140625" style="980" bestFit="1" customWidth="1"/>
    <col min="12549" max="12549" width="4.42578125" style="980" customWidth="1"/>
    <col min="12550" max="12550" width="3.140625" style="980" customWidth="1"/>
    <col min="12551" max="12551" width="3" style="980" customWidth="1"/>
    <col min="12552" max="12552" width="3" style="980" bestFit="1" customWidth="1"/>
    <col min="12553" max="12553" width="2.85546875" style="980" customWidth="1"/>
    <col min="12554" max="12797" width="11.42578125" style="980"/>
    <col min="12798" max="12798" width="12.42578125" style="980" bestFit="1" customWidth="1"/>
    <col min="12799" max="12799" width="9.5703125" style="980" customWidth="1"/>
    <col min="12800" max="12801" width="11.42578125" style="980"/>
    <col min="12802" max="12802" width="12.28515625" style="980" bestFit="1" customWidth="1"/>
    <col min="12803" max="12803" width="9.7109375" style="980" customWidth="1"/>
    <col min="12804" max="12804" width="10.140625" style="980" bestFit="1" customWidth="1"/>
    <col min="12805" max="12805" width="4.42578125" style="980" customWidth="1"/>
    <col min="12806" max="12806" width="3.140625" style="980" customWidth="1"/>
    <col min="12807" max="12807" width="3" style="980" customWidth="1"/>
    <col min="12808" max="12808" width="3" style="980" bestFit="1" customWidth="1"/>
    <col min="12809" max="12809" width="2.85546875" style="980" customWidth="1"/>
    <col min="12810" max="13053" width="11.42578125" style="980"/>
    <col min="13054" max="13054" width="12.42578125" style="980" bestFit="1" customWidth="1"/>
    <col min="13055" max="13055" width="9.5703125" style="980" customWidth="1"/>
    <col min="13056" max="13057" width="11.42578125" style="980"/>
    <col min="13058" max="13058" width="12.28515625" style="980" bestFit="1" customWidth="1"/>
    <col min="13059" max="13059" width="9.7109375" style="980" customWidth="1"/>
    <col min="13060" max="13060" width="10.140625" style="980" bestFit="1" customWidth="1"/>
    <col min="13061" max="13061" width="4.42578125" style="980" customWidth="1"/>
    <col min="13062" max="13062" width="3.140625" style="980" customWidth="1"/>
    <col min="13063" max="13063" width="3" style="980" customWidth="1"/>
    <col min="13064" max="13064" width="3" style="980" bestFit="1" customWidth="1"/>
    <col min="13065" max="13065" width="2.85546875" style="980" customWidth="1"/>
    <col min="13066" max="13309" width="11.42578125" style="980"/>
    <col min="13310" max="13310" width="12.42578125" style="980" bestFit="1" customWidth="1"/>
    <col min="13311" max="13311" width="9.5703125" style="980" customWidth="1"/>
    <col min="13312" max="13313" width="11.42578125" style="980"/>
    <col min="13314" max="13314" width="12.28515625" style="980" bestFit="1" customWidth="1"/>
    <col min="13315" max="13315" width="9.7109375" style="980" customWidth="1"/>
    <col min="13316" max="13316" width="10.140625" style="980" bestFit="1" customWidth="1"/>
    <col min="13317" max="13317" width="4.42578125" style="980" customWidth="1"/>
    <col min="13318" max="13318" width="3.140625" style="980" customWidth="1"/>
    <col min="13319" max="13319" width="3" style="980" customWidth="1"/>
    <col min="13320" max="13320" width="3" style="980" bestFit="1" customWidth="1"/>
    <col min="13321" max="13321" width="2.85546875" style="980" customWidth="1"/>
    <col min="13322" max="13565" width="11.42578125" style="980"/>
    <col min="13566" max="13566" width="12.42578125" style="980" bestFit="1" customWidth="1"/>
    <col min="13567" max="13567" width="9.5703125" style="980" customWidth="1"/>
    <col min="13568" max="13569" width="11.42578125" style="980"/>
    <col min="13570" max="13570" width="12.28515625" style="980" bestFit="1" customWidth="1"/>
    <col min="13571" max="13571" width="9.7109375" style="980" customWidth="1"/>
    <col min="13572" max="13572" width="10.140625" style="980" bestFit="1" customWidth="1"/>
    <col min="13573" max="13573" width="4.42578125" style="980" customWidth="1"/>
    <col min="13574" max="13574" width="3.140625" style="980" customWidth="1"/>
    <col min="13575" max="13575" width="3" style="980" customWidth="1"/>
    <col min="13576" max="13576" width="3" style="980" bestFit="1" customWidth="1"/>
    <col min="13577" max="13577" width="2.85546875" style="980" customWidth="1"/>
    <col min="13578" max="13821" width="11.42578125" style="980"/>
    <col min="13822" max="13822" width="12.42578125" style="980" bestFit="1" customWidth="1"/>
    <col min="13823" max="13823" width="9.5703125" style="980" customWidth="1"/>
    <col min="13824" max="13825" width="11.42578125" style="980"/>
    <col min="13826" max="13826" width="12.28515625" style="980" bestFit="1" customWidth="1"/>
    <col min="13827" max="13827" width="9.7109375" style="980" customWidth="1"/>
    <col min="13828" max="13828" width="10.140625" style="980" bestFit="1" customWidth="1"/>
    <col min="13829" max="13829" width="4.42578125" style="980" customWidth="1"/>
    <col min="13830" max="13830" width="3.140625" style="980" customWidth="1"/>
    <col min="13831" max="13831" width="3" style="980" customWidth="1"/>
    <col min="13832" max="13832" width="3" style="980" bestFit="1" customWidth="1"/>
    <col min="13833" max="13833" width="2.85546875" style="980" customWidth="1"/>
    <col min="13834" max="14077" width="11.42578125" style="980"/>
    <col min="14078" max="14078" width="12.42578125" style="980" bestFit="1" customWidth="1"/>
    <col min="14079" max="14079" width="9.5703125" style="980" customWidth="1"/>
    <col min="14080" max="14081" width="11.42578125" style="980"/>
    <col min="14082" max="14082" width="12.28515625" style="980" bestFit="1" customWidth="1"/>
    <col min="14083" max="14083" width="9.7109375" style="980" customWidth="1"/>
    <col min="14084" max="14084" width="10.140625" style="980" bestFit="1" customWidth="1"/>
    <col min="14085" max="14085" width="4.42578125" style="980" customWidth="1"/>
    <col min="14086" max="14086" width="3.140625" style="980" customWidth="1"/>
    <col min="14087" max="14087" width="3" style="980" customWidth="1"/>
    <col min="14088" max="14088" width="3" style="980" bestFit="1" customWidth="1"/>
    <col min="14089" max="14089" width="2.85546875" style="980" customWidth="1"/>
    <col min="14090" max="14333" width="11.42578125" style="980"/>
    <col min="14334" max="14334" width="12.42578125" style="980" bestFit="1" customWidth="1"/>
    <col min="14335" max="14335" width="9.5703125" style="980" customWidth="1"/>
    <col min="14336" max="14337" width="11.42578125" style="980"/>
    <col min="14338" max="14338" width="12.28515625" style="980" bestFit="1" customWidth="1"/>
    <col min="14339" max="14339" width="9.7109375" style="980" customWidth="1"/>
    <col min="14340" max="14340" width="10.140625" style="980" bestFit="1" customWidth="1"/>
    <col min="14341" max="14341" width="4.42578125" style="980" customWidth="1"/>
    <col min="14342" max="14342" width="3.140625" style="980" customWidth="1"/>
    <col min="14343" max="14343" width="3" style="980" customWidth="1"/>
    <col min="14344" max="14344" width="3" style="980" bestFit="1" customWidth="1"/>
    <col min="14345" max="14345" width="2.85546875" style="980" customWidth="1"/>
    <col min="14346" max="14589" width="11.42578125" style="980"/>
    <col min="14590" max="14590" width="12.42578125" style="980" bestFit="1" customWidth="1"/>
    <col min="14591" max="14591" width="9.5703125" style="980" customWidth="1"/>
    <col min="14592" max="14593" width="11.42578125" style="980"/>
    <col min="14594" max="14594" width="12.28515625" style="980" bestFit="1" customWidth="1"/>
    <col min="14595" max="14595" width="9.7109375" style="980" customWidth="1"/>
    <col min="14596" max="14596" width="10.140625" style="980" bestFit="1" customWidth="1"/>
    <col min="14597" max="14597" width="4.42578125" style="980" customWidth="1"/>
    <col min="14598" max="14598" width="3.140625" style="980" customWidth="1"/>
    <col min="14599" max="14599" width="3" style="980" customWidth="1"/>
    <col min="14600" max="14600" width="3" style="980" bestFit="1" customWidth="1"/>
    <col min="14601" max="14601" width="2.85546875" style="980" customWidth="1"/>
    <col min="14602" max="14845" width="11.42578125" style="980"/>
    <col min="14846" max="14846" width="12.42578125" style="980" bestFit="1" customWidth="1"/>
    <col min="14847" max="14847" width="9.5703125" style="980" customWidth="1"/>
    <col min="14848" max="14849" width="11.42578125" style="980"/>
    <col min="14850" max="14850" width="12.28515625" style="980" bestFit="1" customWidth="1"/>
    <col min="14851" max="14851" width="9.7109375" style="980" customWidth="1"/>
    <col min="14852" max="14852" width="10.140625" style="980" bestFit="1" customWidth="1"/>
    <col min="14853" max="14853" width="4.42578125" style="980" customWidth="1"/>
    <col min="14854" max="14854" width="3.140625" style="980" customWidth="1"/>
    <col min="14855" max="14855" width="3" style="980" customWidth="1"/>
    <col min="14856" max="14856" width="3" style="980" bestFit="1" customWidth="1"/>
    <col min="14857" max="14857" width="2.85546875" style="980" customWidth="1"/>
    <col min="14858" max="15101" width="11.42578125" style="980"/>
    <col min="15102" max="15102" width="12.42578125" style="980" bestFit="1" customWidth="1"/>
    <col min="15103" max="15103" width="9.5703125" style="980" customWidth="1"/>
    <col min="15104" max="15105" width="11.42578125" style="980"/>
    <col min="15106" max="15106" width="12.28515625" style="980" bestFit="1" customWidth="1"/>
    <col min="15107" max="15107" width="9.7109375" style="980" customWidth="1"/>
    <col min="15108" max="15108" width="10.140625" style="980" bestFit="1" customWidth="1"/>
    <col min="15109" max="15109" width="4.42578125" style="980" customWidth="1"/>
    <col min="15110" max="15110" width="3.140625" style="980" customWidth="1"/>
    <col min="15111" max="15111" width="3" style="980" customWidth="1"/>
    <col min="15112" max="15112" width="3" style="980" bestFit="1" customWidth="1"/>
    <col min="15113" max="15113" width="2.85546875" style="980" customWidth="1"/>
    <col min="15114" max="15357" width="11.42578125" style="980"/>
    <col min="15358" max="15358" width="12.42578125" style="980" bestFit="1" customWidth="1"/>
    <col min="15359" max="15359" width="9.5703125" style="980" customWidth="1"/>
    <col min="15360" max="15361" width="11.42578125" style="980"/>
    <col min="15362" max="15362" width="12.28515625" style="980" bestFit="1" customWidth="1"/>
    <col min="15363" max="15363" width="9.7109375" style="980" customWidth="1"/>
    <col min="15364" max="15364" width="10.140625" style="980" bestFit="1" customWidth="1"/>
    <col min="15365" max="15365" width="4.42578125" style="980" customWidth="1"/>
    <col min="15366" max="15366" width="3.140625" style="980" customWidth="1"/>
    <col min="15367" max="15367" width="3" style="980" customWidth="1"/>
    <col min="15368" max="15368" width="3" style="980" bestFit="1" customWidth="1"/>
    <col min="15369" max="15369" width="2.85546875" style="980" customWidth="1"/>
    <col min="15370" max="15613" width="11.42578125" style="980"/>
    <col min="15614" max="15614" width="12.42578125" style="980" bestFit="1" customWidth="1"/>
    <col min="15615" max="15615" width="9.5703125" style="980" customWidth="1"/>
    <col min="15616" max="15617" width="11.42578125" style="980"/>
    <col min="15618" max="15618" width="12.28515625" style="980" bestFit="1" customWidth="1"/>
    <col min="15619" max="15619" width="9.7109375" style="980" customWidth="1"/>
    <col min="15620" max="15620" width="10.140625" style="980" bestFit="1" customWidth="1"/>
    <col min="15621" max="15621" width="4.42578125" style="980" customWidth="1"/>
    <col min="15622" max="15622" width="3.140625" style="980" customWidth="1"/>
    <col min="15623" max="15623" width="3" style="980" customWidth="1"/>
    <col min="15624" max="15624" width="3" style="980" bestFit="1" customWidth="1"/>
    <col min="15625" max="15625" width="2.85546875" style="980" customWidth="1"/>
    <col min="15626" max="15869" width="11.42578125" style="980"/>
    <col min="15870" max="15870" width="12.42578125" style="980" bestFit="1" customWidth="1"/>
    <col min="15871" max="15871" width="9.5703125" style="980" customWidth="1"/>
    <col min="15872" max="15873" width="11.42578125" style="980"/>
    <col min="15874" max="15874" width="12.28515625" style="980" bestFit="1" customWidth="1"/>
    <col min="15875" max="15875" width="9.7109375" style="980" customWidth="1"/>
    <col min="15876" max="15876" width="10.140625" style="980" bestFit="1" customWidth="1"/>
    <col min="15877" max="15877" width="4.42578125" style="980" customWidth="1"/>
    <col min="15878" max="15878" width="3.140625" style="980" customWidth="1"/>
    <col min="15879" max="15879" width="3" style="980" customWidth="1"/>
    <col min="15880" max="15880" width="3" style="980" bestFit="1" customWidth="1"/>
    <col min="15881" max="15881" width="2.85546875" style="980" customWidth="1"/>
    <col min="15882" max="16125" width="11.42578125" style="980"/>
    <col min="16126" max="16126" width="12.42578125" style="980" bestFit="1" customWidth="1"/>
    <col min="16127" max="16127" width="9.5703125" style="980" customWidth="1"/>
    <col min="16128" max="16129" width="11.42578125" style="980"/>
    <col min="16130" max="16130" width="12.28515625" style="980" bestFit="1" customWidth="1"/>
    <col min="16131" max="16131" width="9.7109375" style="980" customWidth="1"/>
    <col min="16132" max="16132" width="10.140625" style="980" bestFit="1" customWidth="1"/>
    <col min="16133" max="16133" width="4.42578125" style="980" customWidth="1"/>
    <col min="16134" max="16134" width="3.140625" style="980" customWidth="1"/>
    <col min="16135" max="16135" width="3" style="980" customWidth="1"/>
    <col min="16136" max="16136" width="3" style="980" bestFit="1" customWidth="1"/>
    <col min="16137" max="16137" width="2.85546875" style="980" customWidth="1"/>
    <col min="16138" max="16384" width="11.42578125" style="980"/>
  </cols>
  <sheetData>
    <row r="1" spans="1:9" ht="15.75">
      <c r="A1" s="979" t="s">
        <v>357</v>
      </c>
      <c r="B1" s="979"/>
      <c r="C1" s="979"/>
      <c r="D1" s="979"/>
      <c r="E1" s="979"/>
      <c r="F1" s="979"/>
      <c r="G1" s="979"/>
      <c r="H1" s="979"/>
      <c r="I1" s="979"/>
    </row>
    <row r="3" spans="1:9">
      <c r="A3" s="981"/>
      <c r="B3" s="982"/>
      <c r="C3" s="983" t="s">
        <v>87</v>
      </c>
      <c r="D3" s="983"/>
      <c r="E3" s="984"/>
      <c r="F3" s="982"/>
      <c r="G3" s="983" t="s">
        <v>88</v>
      </c>
      <c r="H3" s="983"/>
      <c r="I3" s="985"/>
    </row>
    <row r="4" spans="1:9">
      <c r="A4" s="986" t="s">
        <v>358</v>
      </c>
      <c r="B4" s="987" t="s">
        <v>359</v>
      </c>
      <c r="C4" s="988" t="s">
        <v>360</v>
      </c>
      <c r="D4" s="989" t="s">
        <v>361</v>
      </c>
      <c r="E4" s="990" t="s">
        <v>362</v>
      </c>
      <c r="F4" s="987" t="s">
        <v>359</v>
      </c>
      <c r="G4" s="988" t="s">
        <v>360</v>
      </c>
      <c r="H4" s="989" t="s">
        <v>361</v>
      </c>
      <c r="I4" s="990" t="s">
        <v>362</v>
      </c>
    </row>
    <row r="5" spans="1:9">
      <c r="A5" s="991"/>
      <c r="B5" s="992" t="s">
        <v>363</v>
      </c>
      <c r="C5" s="993" t="s">
        <v>363</v>
      </c>
      <c r="D5" s="994" t="s">
        <v>364</v>
      </c>
      <c r="E5" s="995" t="s">
        <v>365</v>
      </c>
      <c r="F5" s="992" t="s">
        <v>363</v>
      </c>
      <c r="G5" s="993" t="s">
        <v>363</v>
      </c>
      <c r="H5" s="994" t="s">
        <v>364</v>
      </c>
      <c r="I5" s="995" t="s">
        <v>365</v>
      </c>
    </row>
    <row r="6" spans="1:9">
      <c r="A6" s="996" t="s">
        <v>71</v>
      </c>
      <c r="B6" s="997">
        <f t="shared" ref="B6:C16" si="0">B62+B119</f>
        <v>543174</v>
      </c>
      <c r="C6" s="998">
        <f t="shared" si="0"/>
        <v>817922</v>
      </c>
      <c r="D6" s="999" t="s">
        <v>366</v>
      </c>
      <c r="E6" s="998">
        <f t="shared" ref="E6:G16" si="1">E62+E119</f>
        <v>1361096</v>
      </c>
      <c r="F6" s="997">
        <f t="shared" si="1"/>
        <v>1301493</v>
      </c>
      <c r="G6" s="998">
        <f t="shared" si="1"/>
        <v>275044</v>
      </c>
      <c r="H6" s="1000" t="s">
        <v>367</v>
      </c>
      <c r="I6" s="1001">
        <f t="shared" ref="I6:I16" si="2">I62+I119</f>
        <v>1576537</v>
      </c>
    </row>
    <row r="7" spans="1:9">
      <c r="A7" s="1002" t="s">
        <v>168</v>
      </c>
      <c r="B7" s="997">
        <f t="shared" si="0"/>
        <v>533241</v>
      </c>
      <c r="C7" s="998">
        <f t="shared" si="0"/>
        <v>831803</v>
      </c>
      <c r="D7" s="1003" t="s">
        <v>368</v>
      </c>
      <c r="E7" s="998">
        <f t="shared" si="1"/>
        <v>1365044</v>
      </c>
      <c r="F7" s="997">
        <f t="shared" si="1"/>
        <v>1203667</v>
      </c>
      <c r="G7" s="998">
        <f t="shared" si="1"/>
        <v>301384</v>
      </c>
      <c r="H7" s="1004" t="s">
        <v>369</v>
      </c>
      <c r="I7" s="1001">
        <f t="shared" si="2"/>
        <v>1505051</v>
      </c>
    </row>
    <row r="8" spans="1:9" hidden="1">
      <c r="A8" s="1002" t="s">
        <v>73</v>
      </c>
      <c r="B8" s="997">
        <f t="shared" si="0"/>
        <v>596339</v>
      </c>
      <c r="C8" s="998">
        <f t="shared" si="0"/>
        <v>746387</v>
      </c>
      <c r="D8" s="1004" t="s">
        <v>370</v>
      </c>
      <c r="E8" s="998">
        <f t="shared" si="1"/>
        <v>1342726</v>
      </c>
      <c r="F8" s="997">
        <f t="shared" si="1"/>
        <v>1309776</v>
      </c>
      <c r="G8" s="998">
        <f t="shared" si="1"/>
        <v>298469</v>
      </c>
      <c r="H8" s="1004" t="s">
        <v>371</v>
      </c>
      <c r="I8" s="1001">
        <f t="shared" si="2"/>
        <v>1608245</v>
      </c>
    </row>
    <row r="9" spans="1:9">
      <c r="A9" s="1002" t="s">
        <v>74</v>
      </c>
      <c r="B9" s="997">
        <f t="shared" si="0"/>
        <v>601940</v>
      </c>
      <c r="C9" s="998">
        <f t="shared" si="0"/>
        <v>742333</v>
      </c>
      <c r="D9" s="1004" t="s">
        <v>372</v>
      </c>
      <c r="E9" s="998">
        <f t="shared" si="1"/>
        <v>1344273</v>
      </c>
      <c r="F9" s="997">
        <f t="shared" si="1"/>
        <v>1305468</v>
      </c>
      <c r="G9" s="998">
        <f t="shared" si="1"/>
        <v>306123</v>
      </c>
      <c r="H9" s="1004" t="s">
        <v>371</v>
      </c>
      <c r="I9" s="1001">
        <f t="shared" si="2"/>
        <v>1611591</v>
      </c>
    </row>
    <row r="10" spans="1:9">
      <c r="A10" s="1002" t="s">
        <v>75</v>
      </c>
      <c r="B10" s="997">
        <f t="shared" si="0"/>
        <v>604386</v>
      </c>
      <c r="C10" s="998">
        <f t="shared" si="0"/>
        <v>730637</v>
      </c>
      <c r="D10" s="1004" t="s">
        <v>372</v>
      </c>
      <c r="E10" s="998">
        <f t="shared" si="1"/>
        <v>1335023</v>
      </c>
      <c r="F10" s="997">
        <f t="shared" si="1"/>
        <v>1351924</v>
      </c>
      <c r="G10" s="998">
        <f t="shared" si="1"/>
        <v>300283</v>
      </c>
      <c r="H10" s="1004" t="s">
        <v>373</v>
      </c>
      <c r="I10" s="1001">
        <f t="shared" si="2"/>
        <v>1652207</v>
      </c>
    </row>
    <row r="11" spans="1:9">
      <c r="A11" s="1002" t="s">
        <v>76</v>
      </c>
      <c r="B11" s="997">
        <f t="shared" si="0"/>
        <v>625570</v>
      </c>
      <c r="C11" s="998">
        <f t="shared" si="0"/>
        <v>727117</v>
      </c>
      <c r="D11" s="1004" t="s">
        <v>374</v>
      </c>
      <c r="E11" s="998">
        <f t="shared" si="1"/>
        <v>1352687</v>
      </c>
      <c r="F11" s="997">
        <f t="shared" si="1"/>
        <v>1403896</v>
      </c>
      <c r="G11" s="998">
        <f t="shared" si="1"/>
        <v>310838</v>
      </c>
      <c r="H11" s="1004" t="s">
        <v>373</v>
      </c>
      <c r="I11" s="1001">
        <f t="shared" si="2"/>
        <v>1714734</v>
      </c>
    </row>
    <row r="12" spans="1:9">
      <c r="A12" s="1002" t="s">
        <v>77</v>
      </c>
      <c r="B12" s="997">
        <f t="shared" si="0"/>
        <v>587860</v>
      </c>
      <c r="C12" s="998">
        <f t="shared" si="0"/>
        <v>727536</v>
      </c>
      <c r="D12" s="1004" t="s">
        <v>372</v>
      </c>
      <c r="E12" s="998">
        <f t="shared" si="1"/>
        <v>1315396</v>
      </c>
      <c r="F12" s="997">
        <f t="shared" si="1"/>
        <v>1328368</v>
      </c>
      <c r="G12" s="998">
        <f t="shared" si="1"/>
        <v>344919</v>
      </c>
      <c r="H12" s="1004" t="s">
        <v>375</v>
      </c>
      <c r="I12" s="1001">
        <f t="shared" si="2"/>
        <v>1673287</v>
      </c>
    </row>
    <row r="13" spans="1:9">
      <c r="A13" s="1002" t="s">
        <v>78</v>
      </c>
      <c r="B13" s="997">
        <f t="shared" si="0"/>
        <v>572581</v>
      </c>
      <c r="C13" s="998">
        <f t="shared" si="0"/>
        <v>738756</v>
      </c>
      <c r="D13" s="1004" t="s">
        <v>370</v>
      </c>
      <c r="E13" s="998">
        <f t="shared" si="1"/>
        <v>1311337</v>
      </c>
      <c r="F13" s="997">
        <f t="shared" si="1"/>
        <v>1342487</v>
      </c>
      <c r="G13" s="998">
        <f t="shared" si="1"/>
        <v>379510</v>
      </c>
      <c r="H13" s="1004" t="s">
        <v>376</v>
      </c>
      <c r="I13" s="1001">
        <f t="shared" si="2"/>
        <v>1721997</v>
      </c>
    </row>
    <row r="14" spans="1:9">
      <c r="A14" s="1002" t="s">
        <v>79</v>
      </c>
      <c r="B14" s="997">
        <f t="shared" si="0"/>
        <v>570921</v>
      </c>
      <c r="C14" s="998">
        <f t="shared" si="0"/>
        <v>674925</v>
      </c>
      <c r="D14" s="1004" t="s">
        <v>374</v>
      </c>
      <c r="E14" s="998">
        <f t="shared" si="1"/>
        <v>1245846</v>
      </c>
      <c r="F14" s="997">
        <f t="shared" si="1"/>
        <v>1355891</v>
      </c>
      <c r="G14" s="998">
        <f t="shared" si="1"/>
        <v>384956</v>
      </c>
      <c r="H14" s="1004" t="s">
        <v>376</v>
      </c>
      <c r="I14" s="1001">
        <f t="shared" si="2"/>
        <v>1740847</v>
      </c>
    </row>
    <row r="15" spans="1:9">
      <c r="A15" s="1002" t="s">
        <v>80</v>
      </c>
      <c r="B15" s="997">
        <f t="shared" si="0"/>
        <v>573740</v>
      </c>
      <c r="C15" s="998">
        <f t="shared" si="0"/>
        <v>661607</v>
      </c>
      <c r="D15" s="1004" t="s">
        <v>374</v>
      </c>
      <c r="E15" s="998">
        <f t="shared" si="1"/>
        <v>1235347</v>
      </c>
      <c r="F15" s="997">
        <f t="shared" si="1"/>
        <v>1380327</v>
      </c>
      <c r="G15" s="998">
        <f t="shared" si="1"/>
        <v>411027</v>
      </c>
      <c r="H15" s="1004" t="s">
        <v>377</v>
      </c>
      <c r="I15" s="1001">
        <f t="shared" si="2"/>
        <v>1791354</v>
      </c>
    </row>
    <row r="16" spans="1:9">
      <c r="A16" s="1002" t="s">
        <v>81</v>
      </c>
      <c r="B16" s="997">
        <f t="shared" si="0"/>
        <v>562961</v>
      </c>
      <c r="C16" s="998">
        <f t="shared" si="0"/>
        <v>683619</v>
      </c>
      <c r="D16" s="1004" t="s">
        <v>372</v>
      </c>
      <c r="E16" s="998">
        <f t="shared" si="1"/>
        <v>1246580</v>
      </c>
      <c r="F16" s="997">
        <f t="shared" si="1"/>
        <v>1400618</v>
      </c>
      <c r="G16" s="998">
        <f t="shared" si="1"/>
        <v>395426</v>
      </c>
      <c r="H16" s="1004" t="s">
        <v>376</v>
      </c>
      <c r="I16" s="1001">
        <f t="shared" si="2"/>
        <v>1796044</v>
      </c>
    </row>
    <row r="17" spans="1:9">
      <c r="A17" s="1002" t="s">
        <v>82</v>
      </c>
      <c r="B17" s="997">
        <v>534618</v>
      </c>
      <c r="C17" s="998">
        <v>639477</v>
      </c>
      <c r="D17" s="1004" t="s">
        <v>374</v>
      </c>
      <c r="E17" s="998">
        <v>1174095</v>
      </c>
      <c r="F17" s="997">
        <v>1413980</v>
      </c>
      <c r="G17" s="998">
        <v>364156</v>
      </c>
      <c r="H17" s="1004" t="s">
        <v>369</v>
      </c>
      <c r="I17" s="1001">
        <v>1778136</v>
      </c>
    </row>
    <row r="18" spans="1:9">
      <c r="A18" s="1005" t="s">
        <v>280</v>
      </c>
      <c r="B18" s="1006">
        <f>B74+B131</f>
        <v>773482</v>
      </c>
      <c r="C18" s="1007">
        <f>C74+C131</f>
        <v>461597</v>
      </c>
      <c r="D18" s="1008" t="s">
        <v>378</v>
      </c>
      <c r="E18" s="1007">
        <f>E74+E131</f>
        <v>1235079</v>
      </c>
      <c r="F18" s="1006">
        <f>F74+F131</f>
        <v>1528977</v>
      </c>
      <c r="G18" s="1007">
        <f>G74+G131</f>
        <v>207031</v>
      </c>
      <c r="H18" s="1008" t="s">
        <v>379</v>
      </c>
      <c r="I18" s="1009">
        <f>I74+I131</f>
        <v>1736008</v>
      </c>
    </row>
    <row r="19" spans="1:9">
      <c r="A19" s="1010"/>
      <c r="B19" s="998"/>
      <c r="C19" s="998"/>
      <c r="D19" s="1004"/>
      <c r="E19" s="998"/>
      <c r="F19" s="998"/>
      <c r="G19" s="998"/>
      <c r="H19" s="1004"/>
      <c r="I19" s="998"/>
    </row>
    <row r="20" spans="1:9">
      <c r="A20" s="981"/>
      <c r="B20" s="1011"/>
      <c r="C20" s="983" t="s">
        <v>89</v>
      </c>
      <c r="D20" s="983"/>
      <c r="E20" s="1012"/>
      <c r="F20" s="982"/>
      <c r="G20" s="983" t="s">
        <v>90</v>
      </c>
      <c r="H20" s="983"/>
      <c r="I20" s="985"/>
    </row>
    <row r="21" spans="1:9">
      <c r="A21" s="986" t="s">
        <v>358</v>
      </c>
      <c r="B21" s="987" t="s">
        <v>359</v>
      </c>
      <c r="C21" s="988" t="s">
        <v>360</v>
      </c>
      <c r="D21" s="989" t="s">
        <v>361</v>
      </c>
      <c r="E21" s="990" t="s">
        <v>362</v>
      </c>
      <c r="F21" s="987" t="s">
        <v>359</v>
      </c>
      <c r="G21" s="988" t="s">
        <v>360</v>
      </c>
      <c r="H21" s="989" t="s">
        <v>361</v>
      </c>
      <c r="I21" s="990" t="s">
        <v>362</v>
      </c>
    </row>
    <row r="22" spans="1:9">
      <c r="A22" s="991"/>
      <c r="B22" s="992" t="s">
        <v>363</v>
      </c>
      <c r="C22" s="993" t="s">
        <v>363</v>
      </c>
      <c r="D22" s="994" t="s">
        <v>364</v>
      </c>
      <c r="E22" s="995" t="s">
        <v>365</v>
      </c>
      <c r="F22" s="992" t="s">
        <v>363</v>
      </c>
      <c r="G22" s="993" t="s">
        <v>363</v>
      </c>
      <c r="H22" s="994" t="s">
        <v>364</v>
      </c>
      <c r="I22" s="995" t="s">
        <v>365</v>
      </c>
    </row>
    <row r="23" spans="1:9">
      <c r="A23" s="1002" t="s">
        <v>71</v>
      </c>
      <c r="B23" s="997">
        <f t="shared" ref="B23:C33" si="3">B79+B136</f>
        <v>1213415</v>
      </c>
      <c r="C23" s="998">
        <f t="shared" si="3"/>
        <v>304969</v>
      </c>
      <c r="D23" s="1004" t="s">
        <v>369</v>
      </c>
      <c r="E23" s="998">
        <f t="shared" ref="E23:G33" si="4">E79+E136</f>
        <v>1518384</v>
      </c>
      <c r="F23" s="997">
        <f t="shared" si="4"/>
        <v>539891</v>
      </c>
      <c r="G23" s="998">
        <f t="shared" si="4"/>
        <v>477594</v>
      </c>
      <c r="H23" s="1004" t="s">
        <v>380</v>
      </c>
      <c r="I23" s="1001">
        <f t="shared" ref="I23:I33" si="5">I79+I136</f>
        <v>1017485</v>
      </c>
    </row>
    <row r="24" spans="1:9">
      <c r="A24" s="1002" t="s">
        <v>168</v>
      </c>
      <c r="B24" s="997">
        <f t="shared" si="3"/>
        <v>1171422</v>
      </c>
      <c r="C24" s="998">
        <f t="shared" si="3"/>
        <v>339738</v>
      </c>
      <c r="D24" s="1004" t="s">
        <v>376</v>
      </c>
      <c r="E24" s="998">
        <f t="shared" si="4"/>
        <v>1511160</v>
      </c>
      <c r="F24" s="997">
        <f t="shared" si="4"/>
        <v>541736</v>
      </c>
      <c r="G24" s="998">
        <f t="shared" si="4"/>
        <v>494186</v>
      </c>
      <c r="H24" s="1004" t="s">
        <v>381</v>
      </c>
      <c r="I24" s="1001">
        <f t="shared" si="5"/>
        <v>1035922</v>
      </c>
    </row>
    <row r="25" spans="1:9" hidden="1">
      <c r="A25" s="1002" t="s">
        <v>73</v>
      </c>
      <c r="B25" s="997">
        <f t="shared" si="3"/>
        <v>1280758</v>
      </c>
      <c r="C25" s="998">
        <f t="shared" si="3"/>
        <v>309634</v>
      </c>
      <c r="D25" s="1004" t="s">
        <v>371</v>
      </c>
      <c r="E25" s="998">
        <f t="shared" si="4"/>
        <v>1590392</v>
      </c>
      <c r="F25" s="997">
        <f t="shared" si="4"/>
        <v>614899</v>
      </c>
      <c r="G25" s="998">
        <f t="shared" si="4"/>
        <v>521936</v>
      </c>
      <c r="H25" s="1004" t="s">
        <v>378</v>
      </c>
      <c r="I25" s="1001">
        <f t="shared" si="5"/>
        <v>1136835</v>
      </c>
    </row>
    <row r="26" spans="1:9">
      <c r="A26" s="1002" t="s">
        <v>74</v>
      </c>
      <c r="B26" s="997">
        <f t="shared" si="3"/>
        <v>1252357</v>
      </c>
      <c r="C26" s="998">
        <f t="shared" si="3"/>
        <v>313530</v>
      </c>
      <c r="D26" s="1004" t="s">
        <v>369</v>
      </c>
      <c r="E26" s="998">
        <f t="shared" si="4"/>
        <v>1565887</v>
      </c>
      <c r="F26" s="997">
        <f t="shared" si="4"/>
        <v>627282</v>
      </c>
      <c r="G26" s="998">
        <f t="shared" si="4"/>
        <v>509572</v>
      </c>
      <c r="H26" s="1004" t="s">
        <v>382</v>
      </c>
      <c r="I26" s="1001">
        <f t="shared" si="5"/>
        <v>1136854</v>
      </c>
    </row>
    <row r="27" spans="1:9">
      <c r="A27" s="1002" t="s">
        <v>75</v>
      </c>
      <c r="B27" s="997">
        <f t="shared" si="3"/>
        <v>1257784</v>
      </c>
      <c r="C27" s="998">
        <f t="shared" si="3"/>
        <v>330292</v>
      </c>
      <c r="D27" s="1004" t="s">
        <v>375</v>
      </c>
      <c r="E27" s="998">
        <f t="shared" si="4"/>
        <v>1588076</v>
      </c>
      <c r="F27" s="997">
        <f t="shared" si="4"/>
        <v>611599</v>
      </c>
      <c r="G27" s="998">
        <f t="shared" si="4"/>
        <v>535952</v>
      </c>
      <c r="H27" s="1004" t="s">
        <v>380</v>
      </c>
      <c r="I27" s="1001">
        <f t="shared" si="5"/>
        <v>1147551</v>
      </c>
    </row>
    <row r="28" spans="1:9">
      <c r="A28" s="1002" t="s">
        <v>76</v>
      </c>
      <c r="B28" s="997">
        <f t="shared" si="3"/>
        <v>1285600</v>
      </c>
      <c r="C28" s="998">
        <f t="shared" si="3"/>
        <v>363970</v>
      </c>
      <c r="D28" s="1004" t="s">
        <v>376</v>
      </c>
      <c r="E28" s="998">
        <f t="shared" si="4"/>
        <v>1649570</v>
      </c>
      <c r="F28" s="997">
        <f t="shared" si="4"/>
        <v>572168</v>
      </c>
      <c r="G28" s="998">
        <f t="shared" si="4"/>
        <v>549565</v>
      </c>
      <c r="H28" s="1004" t="s">
        <v>383</v>
      </c>
      <c r="I28" s="1001">
        <f t="shared" si="5"/>
        <v>1121733</v>
      </c>
    </row>
    <row r="29" spans="1:9">
      <c r="A29" s="1002" t="s">
        <v>77</v>
      </c>
      <c r="B29" s="997">
        <f t="shared" si="3"/>
        <v>1254313</v>
      </c>
      <c r="C29" s="998">
        <f t="shared" si="3"/>
        <v>355110</v>
      </c>
      <c r="D29" s="1004" t="s">
        <v>376</v>
      </c>
      <c r="E29" s="998">
        <f t="shared" si="4"/>
        <v>1609423</v>
      </c>
      <c r="F29" s="997">
        <f t="shared" si="4"/>
        <v>589127</v>
      </c>
      <c r="G29" s="998">
        <f t="shared" si="4"/>
        <v>606586</v>
      </c>
      <c r="H29" s="1004" t="s">
        <v>384</v>
      </c>
      <c r="I29" s="1001">
        <f t="shared" si="5"/>
        <v>1195713</v>
      </c>
    </row>
    <row r="30" spans="1:9">
      <c r="A30" s="1002" t="s">
        <v>78</v>
      </c>
      <c r="B30" s="997">
        <f t="shared" si="3"/>
        <v>1296184</v>
      </c>
      <c r="C30" s="998">
        <f t="shared" si="3"/>
        <v>376096</v>
      </c>
      <c r="D30" s="1004" t="s">
        <v>376</v>
      </c>
      <c r="E30" s="998">
        <f t="shared" si="4"/>
        <v>1672280</v>
      </c>
      <c r="F30" s="997">
        <f t="shared" si="4"/>
        <v>600947</v>
      </c>
      <c r="G30" s="998">
        <f t="shared" si="4"/>
        <v>628137</v>
      </c>
      <c r="H30" s="1004" t="s">
        <v>384</v>
      </c>
      <c r="I30" s="1001">
        <f t="shared" si="5"/>
        <v>1229084</v>
      </c>
    </row>
    <row r="31" spans="1:9">
      <c r="A31" s="1002" t="s">
        <v>79</v>
      </c>
      <c r="B31" s="997">
        <f t="shared" si="3"/>
        <v>1285376</v>
      </c>
      <c r="C31" s="998">
        <f t="shared" si="3"/>
        <v>375270</v>
      </c>
      <c r="D31" s="1004" t="s">
        <v>377</v>
      </c>
      <c r="E31" s="998">
        <f t="shared" si="4"/>
        <v>1660646</v>
      </c>
      <c r="F31" s="997">
        <f t="shared" si="4"/>
        <v>606728</v>
      </c>
      <c r="G31" s="998">
        <f t="shared" si="4"/>
        <v>608137</v>
      </c>
      <c r="H31" s="1004" t="s">
        <v>385</v>
      </c>
      <c r="I31" s="1001">
        <f t="shared" si="5"/>
        <v>1214865</v>
      </c>
    </row>
    <row r="32" spans="1:9">
      <c r="A32" s="1002" t="s">
        <v>80</v>
      </c>
      <c r="B32" s="997">
        <f t="shared" si="3"/>
        <v>1335541</v>
      </c>
      <c r="C32" s="998">
        <f t="shared" si="3"/>
        <v>387093</v>
      </c>
      <c r="D32" s="1004" t="s">
        <v>376</v>
      </c>
      <c r="E32" s="998">
        <f t="shared" si="4"/>
        <v>1722634</v>
      </c>
      <c r="F32" s="997">
        <f t="shared" si="4"/>
        <v>639951</v>
      </c>
      <c r="G32" s="998">
        <f t="shared" si="4"/>
        <v>624000</v>
      </c>
      <c r="H32" s="1004" t="s">
        <v>383</v>
      </c>
      <c r="I32" s="1001">
        <f t="shared" si="5"/>
        <v>1263951</v>
      </c>
    </row>
    <row r="33" spans="1:9">
      <c r="A33" s="1002" t="s">
        <v>81</v>
      </c>
      <c r="B33" s="997">
        <f t="shared" si="3"/>
        <v>1346335</v>
      </c>
      <c r="C33" s="998">
        <f t="shared" si="3"/>
        <v>364719</v>
      </c>
      <c r="D33" s="1004" t="s">
        <v>375</v>
      </c>
      <c r="E33" s="998">
        <f t="shared" si="4"/>
        <v>1711054</v>
      </c>
      <c r="F33" s="997">
        <f t="shared" si="4"/>
        <v>642077</v>
      </c>
      <c r="G33" s="998">
        <f t="shared" si="4"/>
        <v>595585</v>
      </c>
      <c r="H33" s="1004" t="s">
        <v>381</v>
      </c>
      <c r="I33" s="1001">
        <f t="shared" si="5"/>
        <v>1237662</v>
      </c>
    </row>
    <row r="34" spans="1:9">
      <c r="A34" s="1002" t="s">
        <v>82</v>
      </c>
      <c r="B34" s="997">
        <v>1338344</v>
      </c>
      <c r="C34" s="998">
        <v>358416</v>
      </c>
      <c r="D34" s="1004" t="s">
        <v>375</v>
      </c>
      <c r="E34" s="998">
        <v>1696760</v>
      </c>
      <c r="F34" s="997">
        <v>675670</v>
      </c>
      <c r="G34" s="998">
        <v>513378</v>
      </c>
      <c r="H34" s="1004" t="s">
        <v>386</v>
      </c>
      <c r="I34" s="1001">
        <v>1189048</v>
      </c>
    </row>
    <row r="35" spans="1:9">
      <c r="A35" s="1005" t="s">
        <v>280</v>
      </c>
      <c r="B35" s="1006">
        <f>B91+B148</f>
        <v>1373075</v>
      </c>
      <c r="C35" s="1007">
        <f>C91+C148</f>
        <v>241247</v>
      </c>
      <c r="D35" s="1008" t="s">
        <v>371</v>
      </c>
      <c r="E35" s="1007">
        <f>E91+E148</f>
        <v>1614322</v>
      </c>
      <c r="F35" s="1006">
        <f>F91+F148</f>
        <v>906761</v>
      </c>
      <c r="G35" s="1007">
        <f>G91+G148</f>
        <v>109034</v>
      </c>
      <c r="H35" s="1008" t="s">
        <v>387</v>
      </c>
      <c r="I35" s="1009">
        <f>I91+I148</f>
        <v>1015795</v>
      </c>
    </row>
    <row r="36" spans="1:9">
      <c r="A36" s="1013"/>
      <c r="B36" s="1014"/>
      <c r="D36" s="1014"/>
      <c r="E36" s="1015"/>
      <c r="F36" s="1015"/>
      <c r="G36" s="1015"/>
      <c r="H36" s="1015"/>
      <c r="I36" s="1014"/>
    </row>
    <row r="37" spans="1:9">
      <c r="A37" s="981"/>
      <c r="B37" s="1011"/>
      <c r="C37" s="983" t="s">
        <v>30</v>
      </c>
      <c r="D37" s="983"/>
      <c r="E37" s="985"/>
      <c r="F37" s="1016"/>
      <c r="G37" s="1016"/>
      <c r="H37" s="1016"/>
      <c r="I37" s="1013"/>
    </row>
    <row r="38" spans="1:9">
      <c r="A38" s="986" t="s">
        <v>358</v>
      </c>
      <c r="B38" s="987" t="s">
        <v>359</v>
      </c>
      <c r="C38" s="988" t="s">
        <v>360</v>
      </c>
      <c r="D38" s="989" t="s">
        <v>361</v>
      </c>
      <c r="E38" s="990" t="s">
        <v>362</v>
      </c>
      <c r="F38" s="1017"/>
      <c r="G38" s="1017"/>
      <c r="H38" s="1017"/>
      <c r="I38" s="1013"/>
    </row>
    <row r="39" spans="1:9">
      <c r="A39" s="991"/>
      <c r="B39" s="992" t="s">
        <v>363</v>
      </c>
      <c r="C39" s="993" t="s">
        <v>363</v>
      </c>
      <c r="D39" s="994" t="s">
        <v>364</v>
      </c>
      <c r="E39" s="995" t="s">
        <v>365</v>
      </c>
      <c r="F39" s="1017"/>
      <c r="G39" s="1017"/>
      <c r="H39" s="1017"/>
    </row>
    <row r="40" spans="1:9">
      <c r="A40" s="1018" t="s">
        <v>71</v>
      </c>
      <c r="B40" s="997">
        <f t="shared" ref="B40:C50" si="6">B97+B154</f>
        <v>3597973</v>
      </c>
      <c r="C40" s="998">
        <f t="shared" si="6"/>
        <v>1875529</v>
      </c>
      <c r="D40" s="1004" t="s">
        <v>388</v>
      </c>
      <c r="E40" s="1001">
        <f t="shared" ref="E40:E50" si="7">E97+E154</f>
        <v>5473502</v>
      </c>
      <c r="F40" s="1017"/>
      <c r="G40" s="1017"/>
      <c r="H40" s="1017"/>
    </row>
    <row r="41" spans="1:9">
      <c r="A41" s="1018" t="s">
        <v>168</v>
      </c>
      <c r="B41" s="997">
        <f t="shared" si="6"/>
        <v>3450066</v>
      </c>
      <c r="C41" s="998">
        <f t="shared" si="6"/>
        <v>1967111</v>
      </c>
      <c r="D41" s="1004" t="s">
        <v>389</v>
      </c>
      <c r="E41" s="1001">
        <f t="shared" si="7"/>
        <v>5417177</v>
      </c>
      <c r="F41" s="1017"/>
      <c r="G41" s="1017"/>
      <c r="H41" s="1017"/>
    </row>
    <row r="42" spans="1:9" hidden="1">
      <c r="A42" s="1018" t="s">
        <v>73</v>
      </c>
      <c r="B42" s="997">
        <f t="shared" si="6"/>
        <v>3801772</v>
      </c>
      <c r="C42" s="998">
        <f t="shared" si="6"/>
        <v>1876426</v>
      </c>
      <c r="D42" s="1004" t="s">
        <v>379</v>
      </c>
      <c r="E42" s="1001">
        <f t="shared" si="7"/>
        <v>5678198</v>
      </c>
      <c r="F42" s="1013"/>
      <c r="G42" s="1013"/>
      <c r="H42" s="1013"/>
    </row>
    <row r="43" spans="1:9">
      <c r="A43" s="1018" t="s">
        <v>74</v>
      </c>
      <c r="B43" s="997">
        <f t="shared" si="6"/>
        <v>3787047</v>
      </c>
      <c r="C43" s="998">
        <f t="shared" si="6"/>
        <v>1871558</v>
      </c>
      <c r="D43" s="1004" t="s">
        <v>379</v>
      </c>
      <c r="E43" s="1001">
        <f t="shared" si="7"/>
        <v>5658605</v>
      </c>
      <c r="F43" s="1013"/>
      <c r="G43" s="1013"/>
      <c r="H43" s="1013"/>
    </row>
    <row r="44" spans="1:9">
      <c r="A44" s="1018" t="s">
        <v>75</v>
      </c>
      <c r="B44" s="997">
        <f t="shared" si="6"/>
        <v>3825693</v>
      </c>
      <c r="C44" s="998">
        <f t="shared" si="6"/>
        <v>1897164</v>
      </c>
      <c r="D44" s="1004" t="s">
        <v>379</v>
      </c>
      <c r="E44" s="1001">
        <f t="shared" si="7"/>
        <v>5722857</v>
      </c>
      <c r="F44" s="1013"/>
      <c r="G44" s="1013"/>
      <c r="H44" s="1013"/>
    </row>
    <row r="45" spans="1:9">
      <c r="A45" s="1018" t="s">
        <v>76</v>
      </c>
      <c r="B45" s="997">
        <f t="shared" si="6"/>
        <v>3887234</v>
      </c>
      <c r="C45" s="998">
        <f t="shared" si="6"/>
        <v>1951490</v>
      </c>
      <c r="D45" s="1004" t="s">
        <v>379</v>
      </c>
      <c r="E45" s="1001">
        <f t="shared" si="7"/>
        <v>5838724</v>
      </c>
      <c r="F45" s="1013"/>
      <c r="G45" s="1013"/>
      <c r="H45" s="1013"/>
    </row>
    <row r="46" spans="1:9">
      <c r="A46" s="1018" t="s">
        <v>77</v>
      </c>
      <c r="B46" s="997">
        <f t="shared" si="6"/>
        <v>3759668</v>
      </c>
      <c r="C46" s="998">
        <f t="shared" si="6"/>
        <v>2034151</v>
      </c>
      <c r="D46" s="1004" t="s">
        <v>390</v>
      </c>
      <c r="E46" s="1001">
        <f t="shared" si="7"/>
        <v>5793819</v>
      </c>
      <c r="F46" s="1013"/>
      <c r="G46" s="1013"/>
      <c r="H46" s="1013"/>
    </row>
    <row r="47" spans="1:9">
      <c r="A47" s="1018" t="s">
        <v>78</v>
      </c>
      <c r="B47" s="997">
        <f t="shared" si="6"/>
        <v>3812199</v>
      </c>
      <c r="C47" s="998">
        <f t="shared" si="6"/>
        <v>2122499</v>
      </c>
      <c r="D47" s="1004" t="s">
        <v>389</v>
      </c>
      <c r="E47" s="1001">
        <f t="shared" si="7"/>
        <v>5934698</v>
      </c>
      <c r="F47" s="1013"/>
      <c r="G47" s="1013"/>
      <c r="H47" s="1013"/>
    </row>
    <row r="48" spans="1:9">
      <c r="A48" s="1018" t="s">
        <v>79</v>
      </c>
      <c r="B48" s="997">
        <f t="shared" si="6"/>
        <v>3818916</v>
      </c>
      <c r="C48" s="998">
        <f t="shared" si="6"/>
        <v>2043288</v>
      </c>
      <c r="D48" s="1004" t="s">
        <v>390</v>
      </c>
      <c r="E48" s="1001">
        <f t="shared" si="7"/>
        <v>5862204</v>
      </c>
      <c r="F48" s="1013"/>
      <c r="G48" s="1013"/>
      <c r="H48" s="1013"/>
    </row>
    <row r="49" spans="1:9">
      <c r="A49" s="1018" t="s">
        <v>80</v>
      </c>
      <c r="B49" s="997">
        <f t="shared" si="6"/>
        <v>3929559</v>
      </c>
      <c r="C49" s="998">
        <f t="shared" si="6"/>
        <v>2083727</v>
      </c>
      <c r="D49" s="1004" t="s">
        <v>390</v>
      </c>
      <c r="E49" s="1001">
        <f t="shared" si="7"/>
        <v>6013286</v>
      </c>
      <c r="F49" s="1013"/>
      <c r="G49" s="1013"/>
      <c r="H49" s="1013"/>
    </row>
    <row r="50" spans="1:9">
      <c r="A50" s="1002" t="s">
        <v>81</v>
      </c>
      <c r="B50" s="997">
        <f t="shared" si="6"/>
        <v>3951991</v>
      </c>
      <c r="C50" s="998">
        <f t="shared" si="6"/>
        <v>2039349</v>
      </c>
      <c r="D50" s="1004" t="s">
        <v>388</v>
      </c>
      <c r="E50" s="1001">
        <f t="shared" si="7"/>
        <v>5991340</v>
      </c>
      <c r="F50" s="1013"/>
      <c r="G50" s="1013"/>
      <c r="H50" s="1013"/>
    </row>
    <row r="51" spans="1:9">
      <c r="A51" s="1002" t="s">
        <v>82</v>
      </c>
      <c r="B51" s="997">
        <v>3962162</v>
      </c>
      <c r="C51" s="998">
        <v>1875427</v>
      </c>
      <c r="D51" s="1004" t="s">
        <v>391</v>
      </c>
      <c r="E51" s="1001">
        <v>5837589</v>
      </c>
      <c r="F51" s="1013"/>
      <c r="G51" s="1013"/>
      <c r="H51" s="1013"/>
    </row>
    <row r="52" spans="1:9">
      <c r="A52" s="1005" t="s">
        <v>280</v>
      </c>
      <c r="B52" s="1006">
        <f>B109+B166</f>
        <v>4582295</v>
      </c>
      <c r="C52" s="1007">
        <f>C109+C166</f>
        <v>1018909</v>
      </c>
      <c r="D52" s="1008" t="s">
        <v>390</v>
      </c>
      <c r="E52" s="1009">
        <f>E109+E166</f>
        <v>5601204</v>
      </c>
      <c r="F52" s="1013"/>
      <c r="G52" s="1013"/>
      <c r="H52" s="1013"/>
    </row>
    <row r="53" spans="1:9" ht="8.25" customHeight="1">
      <c r="A53" s="1031"/>
      <c r="B53" s="1247"/>
      <c r="C53" s="1013"/>
      <c r="D53" s="1013"/>
      <c r="E53" s="1013"/>
      <c r="F53" s="1013"/>
      <c r="G53" s="1013"/>
      <c r="H53" s="1013"/>
    </row>
    <row r="54" spans="1:9" ht="12.6" customHeight="1">
      <c r="A54" s="1019" t="s">
        <v>392</v>
      </c>
      <c r="B54" s="1013"/>
      <c r="C54" s="1013"/>
      <c r="D54" s="1013"/>
      <c r="E54" s="1013"/>
      <c r="F54" s="1013"/>
      <c r="G54" s="1013"/>
      <c r="H54" s="1013"/>
    </row>
    <row r="55" spans="1:9" ht="12.6" customHeight="1">
      <c r="A55" s="1019" t="s">
        <v>393</v>
      </c>
    </row>
    <row r="57" spans="1:9" ht="15.75">
      <c r="A57" s="956" t="s">
        <v>503</v>
      </c>
      <c r="B57" s="979"/>
      <c r="C57" s="979"/>
      <c r="D57" s="979"/>
      <c r="E57" s="979"/>
      <c r="F57" s="979"/>
      <c r="G57" s="979"/>
      <c r="H57" s="979"/>
      <c r="I57" s="979"/>
    </row>
    <row r="59" spans="1:9">
      <c r="A59" s="981"/>
      <c r="B59" s="982"/>
      <c r="C59" s="983" t="s">
        <v>87</v>
      </c>
      <c r="D59" s="983"/>
      <c r="E59" s="984"/>
      <c r="F59" s="982"/>
      <c r="G59" s="983" t="s">
        <v>88</v>
      </c>
      <c r="H59" s="983"/>
      <c r="I59" s="985"/>
    </row>
    <row r="60" spans="1:9">
      <c r="A60" s="986" t="s">
        <v>358</v>
      </c>
      <c r="B60" s="1020" t="s">
        <v>359</v>
      </c>
      <c r="C60" s="989" t="s">
        <v>360</v>
      </c>
      <c r="D60" s="989" t="s">
        <v>361</v>
      </c>
      <c r="E60" s="990" t="s">
        <v>362</v>
      </c>
      <c r="F60" s="1020" t="s">
        <v>359</v>
      </c>
      <c r="G60" s="989" t="s">
        <v>360</v>
      </c>
      <c r="H60" s="989" t="s">
        <v>361</v>
      </c>
      <c r="I60" s="990" t="s">
        <v>362</v>
      </c>
    </row>
    <row r="61" spans="1:9">
      <c r="A61" s="991"/>
      <c r="B61" s="1021" t="s">
        <v>363</v>
      </c>
      <c r="C61" s="994" t="s">
        <v>363</v>
      </c>
      <c r="D61" s="994" t="s">
        <v>364</v>
      </c>
      <c r="E61" s="995" t="s">
        <v>365</v>
      </c>
      <c r="F61" s="1021" t="s">
        <v>363</v>
      </c>
      <c r="G61" s="994" t="s">
        <v>363</v>
      </c>
      <c r="H61" s="994" t="s">
        <v>364</v>
      </c>
      <c r="I61" s="995" t="s">
        <v>365</v>
      </c>
    </row>
    <row r="62" spans="1:9">
      <c r="A62" s="996" t="s">
        <v>71</v>
      </c>
      <c r="B62" s="1022">
        <v>437841</v>
      </c>
      <c r="C62" s="1023">
        <v>743785</v>
      </c>
      <c r="D62" s="999" t="s">
        <v>394</v>
      </c>
      <c r="E62" s="1024">
        <f t="shared" ref="E62:E72" si="8">SUM(B62:C62)</f>
        <v>1181626</v>
      </c>
      <c r="F62" s="1022">
        <v>1083297</v>
      </c>
      <c r="G62" s="1023">
        <v>217391</v>
      </c>
      <c r="H62" s="999" t="s">
        <v>367</v>
      </c>
      <c r="I62" s="1024">
        <f t="shared" ref="I62:I72" si="9">SUM(F62:G62)</f>
        <v>1300688</v>
      </c>
    </row>
    <row r="63" spans="1:9">
      <c r="A63" s="1002" t="s">
        <v>168</v>
      </c>
      <c r="B63" s="997">
        <v>433292</v>
      </c>
      <c r="C63" s="998">
        <v>750949</v>
      </c>
      <c r="D63" s="1003" t="s">
        <v>395</v>
      </c>
      <c r="E63" s="1025">
        <f t="shared" si="8"/>
        <v>1184241</v>
      </c>
      <c r="F63" s="997">
        <v>1010809</v>
      </c>
      <c r="G63" s="998">
        <v>237652</v>
      </c>
      <c r="H63" s="1003" t="s">
        <v>371</v>
      </c>
      <c r="I63" s="1025">
        <f t="shared" si="9"/>
        <v>1248461</v>
      </c>
    </row>
    <row r="64" spans="1:9" hidden="1">
      <c r="A64" s="1002" t="s">
        <v>73</v>
      </c>
      <c r="B64" s="997">
        <v>480131</v>
      </c>
      <c r="C64" s="998">
        <v>675388</v>
      </c>
      <c r="D64" s="1004" t="s">
        <v>396</v>
      </c>
      <c r="E64" s="1025">
        <f t="shared" si="8"/>
        <v>1155519</v>
      </c>
      <c r="F64" s="997">
        <v>1107059</v>
      </c>
      <c r="G64" s="998">
        <v>238645</v>
      </c>
      <c r="H64" s="1003" t="s">
        <v>373</v>
      </c>
      <c r="I64" s="1025">
        <f t="shared" si="9"/>
        <v>1345704</v>
      </c>
    </row>
    <row r="65" spans="1:9">
      <c r="A65" s="1002" t="s">
        <v>74</v>
      </c>
      <c r="B65" s="997">
        <v>481436</v>
      </c>
      <c r="C65" s="998">
        <v>678080</v>
      </c>
      <c r="D65" s="1004" t="s">
        <v>396</v>
      </c>
      <c r="E65" s="1025">
        <f t="shared" si="8"/>
        <v>1159516</v>
      </c>
      <c r="F65" s="997">
        <v>1104490</v>
      </c>
      <c r="G65" s="998">
        <v>245990</v>
      </c>
      <c r="H65" s="1003" t="s">
        <v>373</v>
      </c>
      <c r="I65" s="1025">
        <f t="shared" si="9"/>
        <v>1350480</v>
      </c>
    </row>
    <row r="66" spans="1:9">
      <c r="A66" s="1002" t="s">
        <v>75</v>
      </c>
      <c r="B66" s="997">
        <v>492475</v>
      </c>
      <c r="C66" s="998">
        <v>660521</v>
      </c>
      <c r="D66" s="1004" t="s">
        <v>397</v>
      </c>
      <c r="E66" s="1025">
        <f t="shared" si="8"/>
        <v>1152996</v>
      </c>
      <c r="F66" s="997">
        <v>1150547</v>
      </c>
      <c r="G66" s="998">
        <v>240730</v>
      </c>
      <c r="H66" s="1003" t="s">
        <v>367</v>
      </c>
      <c r="I66" s="1025">
        <f t="shared" si="9"/>
        <v>1391277</v>
      </c>
    </row>
    <row r="67" spans="1:9">
      <c r="A67" s="1002" t="s">
        <v>76</v>
      </c>
      <c r="B67" s="997">
        <v>525069</v>
      </c>
      <c r="C67" s="998">
        <v>658202</v>
      </c>
      <c r="D67" s="1004" t="s">
        <v>370</v>
      </c>
      <c r="E67" s="1025">
        <f t="shared" si="8"/>
        <v>1183271</v>
      </c>
      <c r="F67" s="997">
        <v>1199198</v>
      </c>
      <c r="G67" s="998">
        <v>254619</v>
      </c>
      <c r="H67" s="1003" t="s">
        <v>373</v>
      </c>
      <c r="I67" s="1025">
        <f t="shared" si="9"/>
        <v>1453817</v>
      </c>
    </row>
    <row r="68" spans="1:9">
      <c r="A68" s="1002" t="s">
        <v>77</v>
      </c>
      <c r="B68" s="997">
        <v>490098</v>
      </c>
      <c r="C68" s="998">
        <v>641280</v>
      </c>
      <c r="D68" s="1004" t="s">
        <v>397</v>
      </c>
      <c r="E68" s="1025">
        <f t="shared" si="8"/>
        <v>1131378</v>
      </c>
      <c r="F68" s="997">
        <v>1133671</v>
      </c>
      <c r="G68" s="998">
        <v>291384</v>
      </c>
      <c r="H68" s="1003" t="s">
        <v>369</v>
      </c>
      <c r="I68" s="1025">
        <f t="shared" si="9"/>
        <v>1425055</v>
      </c>
    </row>
    <row r="69" spans="1:9">
      <c r="A69" s="1002" t="s">
        <v>78</v>
      </c>
      <c r="B69" s="997">
        <v>473863</v>
      </c>
      <c r="C69" s="998">
        <v>652601</v>
      </c>
      <c r="D69" s="1004" t="s">
        <v>398</v>
      </c>
      <c r="E69" s="1025">
        <f t="shared" si="8"/>
        <v>1126464</v>
      </c>
      <c r="F69" s="997">
        <v>1156590</v>
      </c>
      <c r="G69" s="998">
        <v>315300</v>
      </c>
      <c r="H69" s="1003" t="s">
        <v>375</v>
      </c>
      <c r="I69" s="1025">
        <f t="shared" si="9"/>
        <v>1471890</v>
      </c>
    </row>
    <row r="70" spans="1:9">
      <c r="A70" s="1002" t="s">
        <v>79</v>
      </c>
      <c r="B70" s="997">
        <v>472274</v>
      </c>
      <c r="C70" s="998">
        <v>576873</v>
      </c>
      <c r="D70" s="1004" t="s">
        <v>372</v>
      </c>
      <c r="E70" s="1025">
        <f t="shared" si="8"/>
        <v>1049147</v>
      </c>
      <c r="F70" s="997">
        <v>1175899</v>
      </c>
      <c r="G70" s="998">
        <v>324382</v>
      </c>
      <c r="H70" s="1003" t="s">
        <v>376</v>
      </c>
      <c r="I70" s="1025">
        <f t="shared" si="9"/>
        <v>1500281</v>
      </c>
    </row>
    <row r="71" spans="1:9">
      <c r="A71" s="1002" t="s">
        <v>80</v>
      </c>
      <c r="B71" s="997">
        <v>470604</v>
      </c>
      <c r="C71" s="998">
        <v>569745</v>
      </c>
      <c r="D71" s="1004" t="s">
        <v>372</v>
      </c>
      <c r="E71" s="1025">
        <f t="shared" si="8"/>
        <v>1040349</v>
      </c>
      <c r="F71" s="998">
        <v>1194778</v>
      </c>
      <c r="G71" s="998">
        <v>347567</v>
      </c>
      <c r="H71" s="1003" t="s">
        <v>377</v>
      </c>
      <c r="I71" s="1025">
        <f t="shared" si="9"/>
        <v>1542345</v>
      </c>
    </row>
    <row r="72" spans="1:9">
      <c r="A72" s="1002" t="s">
        <v>81</v>
      </c>
      <c r="B72" s="997">
        <v>461670</v>
      </c>
      <c r="C72" s="998">
        <v>592186</v>
      </c>
      <c r="D72" s="1004" t="s">
        <v>370</v>
      </c>
      <c r="E72" s="1025">
        <f t="shared" si="8"/>
        <v>1053856</v>
      </c>
      <c r="F72" s="998">
        <f>1210656-271</f>
        <v>1210385</v>
      </c>
      <c r="G72" s="998">
        <v>329262</v>
      </c>
      <c r="H72" s="1003" t="s">
        <v>375</v>
      </c>
      <c r="I72" s="1025">
        <f t="shared" si="9"/>
        <v>1539647</v>
      </c>
    </row>
    <row r="73" spans="1:9">
      <c r="A73" s="1002" t="s">
        <v>82</v>
      </c>
      <c r="B73" s="997">
        <v>431922</v>
      </c>
      <c r="C73" s="998">
        <v>564467</v>
      </c>
      <c r="D73" s="1004" t="s">
        <v>397</v>
      </c>
      <c r="E73" s="1025">
        <v>996389</v>
      </c>
      <c r="F73" s="998">
        <v>1230013</v>
      </c>
      <c r="G73" s="998">
        <v>303236</v>
      </c>
      <c r="H73" s="1003" t="s">
        <v>369</v>
      </c>
      <c r="I73" s="1025">
        <v>1533249</v>
      </c>
    </row>
    <row r="74" spans="1:9">
      <c r="A74" s="1005" t="s">
        <v>280</v>
      </c>
      <c r="B74" s="1006">
        <v>644052</v>
      </c>
      <c r="C74" s="1007">
        <v>428300</v>
      </c>
      <c r="D74" s="1008" t="s">
        <v>399</v>
      </c>
      <c r="E74" s="1026">
        <f>SUM(B74:C74)</f>
        <v>1072352</v>
      </c>
      <c r="F74" s="1007">
        <v>1348531</v>
      </c>
      <c r="G74" s="1007">
        <v>168514</v>
      </c>
      <c r="H74" s="1008" t="s">
        <v>400</v>
      </c>
      <c r="I74" s="1026">
        <f>SUM(F74:G74)</f>
        <v>1517045</v>
      </c>
    </row>
    <row r="75" spans="1:9">
      <c r="A75" s="1010"/>
      <c r="B75" s="998"/>
      <c r="C75" s="998"/>
      <c r="D75" s="1004"/>
      <c r="E75" s="998"/>
      <c r="F75" s="998"/>
      <c r="G75" s="998"/>
      <c r="H75" s="1004"/>
      <c r="I75" s="998"/>
    </row>
    <row r="76" spans="1:9">
      <c r="A76" s="981"/>
      <c r="B76" s="1011"/>
      <c r="C76" s="983" t="s">
        <v>89</v>
      </c>
      <c r="D76" s="983"/>
      <c r="E76" s="1012"/>
      <c r="F76" s="982"/>
      <c r="G76" s="983" t="s">
        <v>90</v>
      </c>
      <c r="H76" s="983"/>
      <c r="I76" s="985"/>
    </row>
    <row r="77" spans="1:9">
      <c r="A77" s="986" t="s">
        <v>358</v>
      </c>
      <c r="B77" s="1020" t="s">
        <v>359</v>
      </c>
      <c r="C77" s="989" t="s">
        <v>360</v>
      </c>
      <c r="D77" s="989" t="s">
        <v>361</v>
      </c>
      <c r="E77" s="990" t="s">
        <v>362</v>
      </c>
      <c r="F77" s="1020" t="s">
        <v>359</v>
      </c>
      <c r="G77" s="989" t="s">
        <v>360</v>
      </c>
      <c r="H77" s="989" t="s">
        <v>361</v>
      </c>
      <c r="I77" s="990" t="s">
        <v>362</v>
      </c>
    </row>
    <row r="78" spans="1:9">
      <c r="A78" s="991"/>
      <c r="B78" s="1021" t="s">
        <v>363</v>
      </c>
      <c r="C78" s="994" t="s">
        <v>363</v>
      </c>
      <c r="D78" s="994" t="s">
        <v>364</v>
      </c>
      <c r="E78" s="995" t="s">
        <v>365</v>
      </c>
      <c r="F78" s="1021" t="s">
        <v>363</v>
      </c>
      <c r="G78" s="994" t="s">
        <v>363</v>
      </c>
      <c r="H78" s="994" t="s">
        <v>364</v>
      </c>
      <c r="I78" s="995" t="s">
        <v>365</v>
      </c>
    </row>
    <row r="79" spans="1:9">
      <c r="A79" s="1002" t="s">
        <v>71</v>
      </c>
      <c r="B79" s="997">
        <v>1052368</v>
      </c>
      <c r="C79" s="1023">
        <v>270268</v>
      </c>
      <c r="D79" s="1000" t="s">
        <v>369</v>
      </c>
      <c r="E79" s="1027">
        <f>SUM(B79:C79)</f>
        <v>1322636</v>
      </c>
      <c r="F79" s="997">
        <v>429102</v>
      </c>
      <c r="G79" s="1023">
        <v>393510</v>
      </c>
      <c r="H79" s="999" t="s">
        <v>381</v>
      </c>
      <c r="I79" s="1024">
        <f t="shared" ref="I79:I89" si="10">SUM(F79:G79)</f>
        <v>822612</v>
      </c>
    </row>
    <row r="80" spans="1:9">
      <c r="A80" s="1002" t="s">
        <v>168</v>
      </c>
      <c r="B80" s="997">
        <v>1015737</v>
      </c>
      <c r="C80" s="998">
        <v>299772</v>
      </c>
      <c r="D80" s="1004" t="s">
        <v>377</v>
      </c>
      <c r="E80" s="1001">
        <f t="shared" ref="E80:E89" si="11">SUM(B80:C80)</f>
        <v>1315509</v>
      </c>
      <c r="F80" s="997">
        <v>439037</v>
      </c>
      <c r="G80" s="998">
        <v>407140</v>
      </c>
      <c r="H80" s="1003" t="s">
        <v>381</v>
      </c>
      <c r="I80" s="1025">
        <f t="shared" si="10"/>
        <v>846177</v>
      </c>
    </row>
    <row r="81" spans="1:9" hidden="1">
      <c r="A81" s="1002" t="s">
        <v>73</v>
      </c>
      <c r="B81" s="997">
        <v>1114741</v>
      </c>
      <c r="C81" s="998">
        <v>276086</v>
      </c>
      <c r="D81" s="1004" t="s">
        <v>369</v>
      </c>
      <c r="E81" s="1001">
        <f t="shared" si="11"/>
        <v>1390827</v>
      </c>
      <c r="F81" s="997">
        <v>515543</v>
      </c>
      <c r="G81" s="998">
        <v>427061</v>
      </c>
      <c r="H81" s="1003" t="s">
        <v>382</v>
      </c>
      <c r="I81" s="1025">
        <f t="shared" si="10"/>
        <v>942604</v>
      </c>
    </row>
    <row r="82" spans="1:9">
      <c r="A82" s="1002" t="s">
        <v>74</v>
      </c>
      <c r="B82" s="997">
        <v>1088643</v>
      </c>
      <c r="C82" s="998">
        <v>281527</v>
      </c>
      <c r="D82" s="1004" t="s">
        <v>375</v>
      </c>
      <c r="E82" s="1001">
        <f t="shared" si="11"/>
        <v>1370170</v>
      </c>
      <c r="F82" s="997">
        <v>525945</v>
      </c>
      <c r="G82" s="998">
        <v>427706</v>
      </c>
      <c r="H82" s="1003" t="s">
        <v>382</v>
      </c>
      <c r="I82" s="1025">
        <f t="shared" si="10"/>
        <v>953651</v>
      </c>
    </row>
    <row r="83" spans="1:9">
      <c r="A83" s="1002" t="s">
        <v>75</v>
      </c>
      <c r="B83" s="997">
        <v>1093685</v>
      </c>
      <c r="C83" s="998">
        <v>291636</v>
      </c>
      <c r="D83" s="1004" t="s">
        <v>375</v>
      </c>
      <c r="E83" s="1001">
        <f t="shared" si="11"/>
        <v>1385321</v>
      </c>
      <c r="F83" s="997">
        <v>510744</v>
      </c>
      <c r="G83" s="998">
        <v>446899</v>
      </c>
      <c r="H83" s="1003" t="s">
        <v>380</v>
      </c>
      <c r="I83" s="1025">
        <f t="shared" si="10"/>
        <v>957643</v>
      </c>
    </row>
    <row r="84" spans="1:9">
      <c r="A84" s="1002" t="s">
        <v>76</v>
      </c>
      <c r="B84" s="997">
        <v>1117162</v>
      </c>
      <c r="C84" s="998">
        <v>318850</v>
      </c>
      <c r="D84" s="1004" t="s">
        <v>376</v>
      </c>
      <c r="E84" s="1001">
        <f t="shared" si="11"/>
        <v>1436012</v>
      </c>
      <c r="F84" s="997">
        <v>474419</v>
      </c>
      <c r="G84" s="998">
        <v>466518</v>
      </c>
      <c r="H84" s="1003" t="s">
        <v>385</v>
      </c>
      <c r="I84" s="1025">
        <f t="shared" si="10"/>
        <v>940937</v>
      </c>
    </row>
    <row r="85" spans="1:9">
      <c r="A85" s="1002" t="s">
        <v>77</v>
      </c>
      <c r="B85" s="997">
        <v>1094868</v>
      </c>
      <c r="C85" s="998">
        <v>313280</v>
      </c>
      <c r="D85" s="1004" t="s">
        <v>376</v>
      </c>
      <c r="E85" s="1001">
        <f t="shared" si="11"/>
        <v>1408148</v>
      </c>
      <c r="F85" s="997">
        <v>494031</v>
      </c>
      <c r="G85" s="998">
        <v>523508</v>
      </c>
      <c r="H85" s="1003" t="s">
        <v>384</v>
      </c>
      <c r="I85" s="1025">
        <f t="shared" si="10"/>
        <v>1017539</v>
      </c>
    </row>
    <row r="86" spans="1:9">
      <c r="A86" s="1002" t="s">
        <v>78</v>
      </c>
      <c r="B86" s="997">
        <v>1135283</v>
      </c>
      <c r="C86" s="998">
        <v>326910</v>
      </c>
      <c r="D86" s="1004" t="s">
        <v>376</v>
      </c>
      <c r="E86" s="1001">
        <f t="shared" si="11"/>
        <v>1462193</v>
      </c>
      <c r="F86" s="997">
        <v>505340</v>
      </c>
      <c r="G86" s="998">
        <v>548802</v>
      </c>
      <c r="H86" s="1003" t="s">
        <v>401</v>
      </c>
      <c r="I86" s="1025">
        <f t="shared" si="10"/>
        <v>1054142</v>
      </c>
    </row>
    <row r="87" spans="1:9">
      <c r="A87" s="1002" t="s">
        <v>79</v>
      </c>
      <c r="B87" s="997">
        <v>1131575</v>
      </c>
      <c r="C87" s="998">
        <v>315540</v>
      </c>
      <c r="D87" s="1004" t="s">
        <v>376</v>
      </c>
      <c r="E87" s="1001">
        <f t="shared" si="11"/>
        <v>1447115</v>
      </c>
      <c r="F87" s="997">
        <v>514113</v>
      </c>
      <c r="G87" s="998">
        <v>524165</v>
      </c>
      <c r="H87" s="1003" t="s">
        <v>385</v>
      </c>
      <c r="I87" s="1025">
        <f t="shared" si="10"/>
        <v>1038278</v>
      </c>
    </row>
    <row r="88" spans="1:9">
      <c r="A88" s="1002" t="s">
        <v>80</v>
      </c>
      <c r="B88" s="997">
        <v>1181162</v>
      </c>
      <c r="C88" s="998">
        <v>333736</v>
      </c>
      <c r="D88" s="1004" t="s">
        <v>376</v>
      </c>
      <c r="E88" s="1001">
        <f t="shared" si="11"/>
        <v>1514898</v>
      </c>
      <c r="F88" s="997">
        <v>546300</v>
      </c>
      <c r="G88" s="998">
        <v>543536</v>
      </c>
      <c r="H88" s="1003" t="s">
        <v>385</v>
      </c>
      <c r="I88" s="1025">
        <f t="shared" si="10"/>
        <v>1089836</v>
      </c>
    </row>
    <row r="89" spans="1:9">
      <c r="A89" s="1002" t="s">
        <v>81</v>
      </c>
      <c r="B89" s="998">
        <f>1196245-3537</f>
        <v>1192708</v>
      </c>
      <c r="C89" s="998">
        <f>320520-71</f>
        <v>320449</v>
      </c>
      <c r="D89" s="1004" t="s">
        <v>375</v>
      </c>
      <c r="E89" s="1001">
        <f t="shared" si="11"/>
        <v>1513157</v>
      </c>
      <c r="F89" s="998">
        <f>559974-1096</f>
        <v>558878</v>
      </c>
      <c r="G89" s="998">
        <v>513297</v>
      </c>
      <c r="H89" s="1003" t="s">
        <v>381</v>
      </c>
      <c r="I89" s="1025">
        <f t="shared" si="10"/>
        <v>1072175</v>
      </c>
    </row>
    <row r="90" spans="1:9">
      <c r="A90" s="1002" t="s">
        <v>82</v>
      </c>
      <c r="B90" s="998">
        <v>1185171</v>
      </c>
      <c r="C90" s="998">
        <v>316608</v>
      </c>
      <c r="D90" s="1004" t="s">
        <v>375</v>
      </c>
      <c r="E90" s="1001">
        <v>1501779</v>
      </c>
      <c r="F90" s="998">
        <v>600289</v>
      </c>
      <c r="G90" s="998">
        <v>440461</v>
      </c>
      <c r="H90" s="1003" t="s">
        <v>402</v>
      </c>
      <c r="I90" s="1025">
        <v>1040750</v>
      </c>
    </row>
    <row r="91" spans="1:9">
      <c r="A91" s="1005" t="s">
        <v>280</v>
      </c>
      <c r="B91" s="1006">
        <v>1213714</v>
      </c>
      <c r="C91" s="1007">
        <v>207211</v>
      </c>
      <c r="D91" s="1008" t="s">
        <v>403</v>
      </c>
      <c r="E91" s="1009">
        <f>SUM(B91:C91)</f>
        <v>1420925</v>
      </c>
      <c r="F91" s="1007">
        <v>785859</v>
      </c>
      <c r="G91" s="1007">
        <v>101483</v>
      </c>
      <c r="H91" s="1008" t="s">
        <v>400</v>
      </c>
      <c r="I91" s="1026">
        <f>SUM(F91:G91)</f>
        <v>887342</v>
      </c>
    </row>
    <row r="92" spans="1:9">
      <c r="A92" s="1013"/>
      <c r="B92" s="1014"/>
      <c r="D92" s="1014"/>
      <c r="E92" s="1015"/>
      <c r="F92" s="1015"/>
      <c r="G92" s="1015"/>
      <c r="H92" s="1015"/>
      <c r="I92" s="1014"/>
    </row>
    <row r="93" spans="1:9">
      <c r="A93" s="1013"/>
      <c r="B93" s="1014"/>
      <c r="D93" s="1014"/>
      <c r="E93" s="1015"/>
      <c r="F93" s="1015"/>
      <c r="G93" s="1015"/>
      <c r="H93" s="1015"/>
      <c r="I93" s="1014"/>
    </row>
    <row r="94" spans="1:9">
      <c r="A94" s="981"/>
      <c r="B94" s="1011"/>
      <c r="C94" s="983" t="s">
        <v>30</v>
      </c>
      <c r="D94" s="983"/>
      <c r="E94" s="985"/>
      <c r="F94" s="1016"/>
      <c r="G94" s="1016"/>
      <c r="H94" s="1016"/>
      <c r="I94" s="1013"/>
    </row>
    <row r="95" spans="1:9">
      <c r="A95" s="986" t="s">
        <v>358</v>
      </c>
      <c r="B95" s="1020" t="s">
        <v>359</v>
      </c>
      <c r="C95" s="989" t="s">
        <v>360</v>
      </c>
      <c r="D95" s="989" t="s">
        <v>361</v>
      </c>
      <c r="E95" s="990" t="s">
        <v>362</v>
      </c>
      <c r="F95" s="1017"/>
      <c r="G95" s="1017"/>
      <c r="H95" s="1017"/>
      <c r="I95" s="1013"/>
    </row>
    <row r="96" spans="1:9">
      <c r="A96" s="1028"/>
      <c r="B96" s="994" t="s">
        <v>363</v>
      </c>
      <c r="C96" s="994" t="s">
        <v>363</v>
      </c>
      <c r="D96" s="994" t="s">
        <v>364</v>
      </c>
      <c r="E96" s="995" t="s">
        <v>365</v>
      </c>
      <c r="F96" s="1017"/>
      <c r="G96" s="1017"/>
      <c r="H96" s="1017"/>
    </row>
    <row r="97" spans="1:8">
      <c r="A97" s="1002" t="s">
        <v>71</v>
      </c>
      <c r="B97" s="1029">
        <f t="shared" ref="B97:C107" si="12">SUM(B62,F62,B79,F79)</f>
        <v>3002608</v>
      </c>
      <c r="C97" s="998">
        <f t="shared" si="12"/>
        <v>1624954</v>
      </c>
      <c r="D97" s="1004" t="s">
        <v>390</v>
      </c>
      <c r="E97" s="1027">
        <f t="shared" ref="E97:E107" si="13">SUM(E62,I62,E79,I79)</f>
        <v>4627562</v>
      </c>
      <c r="F97" s="1017"/>
      <c r="G97" s="1017"/>
      <c r="H97" s="1017"/>
    </row>
    <row r="98" spans="1:8">
      <c r="A98" s="1002" t="s">
        <v>168</v>
      </c>
      <c r="B98" s="1029">
        <f t="shared" si="12"/>
        <v>2898875</v>
      </c>
      <c r="C98" s="998">
        <f t="shared" si="12"/>
        <v>1695513</v>
      </c>
      <c r="D98" s="1004" t="s">
        <v>404</v>
      </c>
      <c r="E98" s="1001">
        <f t="shared" si="13"/>
        <v>4594388</v>
      </c>
      <c r="F98" s="1017"/>
      <c r="G98" s="1017"/>
      <c r="H98" s="1017"/>
    </row>
    <row r="99" spans="1:8" hidden="1">
      <c r="A99" s="1002" t="s">
        <v>73</v>
      </c>
      <c r="B99" s="1029">
        <f t="shared" si="12"/>
        <v>3217474</v>
      </c>
      <c r="C99" s="998">
        <f t="shared" si="12"/>
        <v>1617180</v>
      </c>
      <c r="D99" s="1004" t="s">
        <v>379</v>
      </c>
      <c r="E99" s="1001">
        <f t="shared" si="13"/>
        <v>4834654</v>
      </c>
      <c r="F99" s="1017"/>
      <c r="G99" s="1013"/>
      <c r="H99" s="1013"/>
    </row>
    <row r="100" spans="1:8">
      <c r="A100" s="1002" t="s">
        <v>74</v>
      </c>
      <c r="B100" s="1029">
        <f t="shared" si="12"/>
        <v>3200514</v>
      </c>
      <c r="C100" s="998">
        <f t="shared" si="12"/>
        <v>1633303</v>
      </c>
      <c r="D100" s="1004" t="s">
        <v>388</v>
      </c>
      <c r="E100" s="1001">
        <f t="shared" si="13"/>
        <v>4833817</v>
      </c>
      <c r="F100" s="1017"/>
      <c r="G100" s="1013"/>
      <c r="H100" s="1013"/>
    </row>
    <row r="101" spans="1:8">
      <c r="A101" s="1002" t="s">
        <v>75</v>
      </c>
      <c r="B101" s="1029">
        <f t="shared" si="12"/>
        <v>3247451</v>
      </c>
      <c r="C101" s="998">
        <f t="shared" si="12"/>
        <v>1639786</v>
      </c>
      <c r="D101" s="1004" t="s">
        <v>388</v>
      </c>
      <c r="E101" s="1001">
        <f t="shared" si="13"/>
        <v>4887237</v>
      </c>
      <c r="F101" s="1017"/>
      <c r="G101" s="1013"/>
      <c r="H101" s="1013"/>
    </row>
    <row r="102" spans="1:8">
      <c r="A102" s="1002" t="s">
        <v>76</v>
      </c>
      <c r="B102" s="1029">
        <f t="shared" si="12"/>
        <v>3315848</v>
      </c>
      <c r="C102" s="998">
        <f t="shared" si="12"/>
        <v>1698189</v>
      </c>
      <c r="D102" s="1004" t="s">
        <v>388</v>
      </c>
      <c r="E102" s="1001">
        <f t="shared" si="13"/>
        <v>5014037</v>
      </c>
      <c r="F102" s="1017"/>
      <c r="G102" s="1013"/>
      <c r="H102" s="1013"/>
    </row>
    <row r="103" spans="1:8">
      <c r="A103" s="1002" t="s">
        <v>77</v>
      </c>
      <c r="B103" s="1029">
        <f t="shared" si="12"/>
        <v>3212668</v>
      </c>
      <c r="C103" s="998">
        <f t="shared" si="12"/>
        <v>1769452</v>
      </c>
      <c r="D103" s="1004" t="s">
        <v>389</v>
      </c>
      <c r="E103" s="1001">
        <f t="shared" si="13"/>
        <v>4982120</v>
      </c>
      <c r="F103" s="1017"/>
      <c r="G103" s="1013"/>
      <c r="H103" s="1013"/>
    </row>
    <row r="104" spans="1:8">
      <c r="A104" s="1002" t="s">
        <v>78</v>
      </c>
      <c r="B104" s="1029">
        <f t="shared" si="12"/>
        <v>3271076</v>
      </c>
      <c r="C104" s="998">
        <f t="shared" si="12"/>
        <v>1843613</v>
      </c>
      <c r="D104" s="1004" t="s">
        <v>389</v>
      </c>
      <c r="E104" s="1001">
        <f t="shared" si="13"/>
        <v>5114689</v>
      </c>
      <c r="F104" s="1017"/>
      <c r="G104" s="1013"/>
      <c r="H104" s="1013"/>
    </row>
    <row r="105" spans="1:8">
      <c r="A105" s="1002" t="s">
        <v>79</v>
      </c>
      <c r="B105" s="1029">
        <f t="shared" si="12"/>
        <v>3293861</v>
      </c>
      <c r="C105" s="998">
        <f t="shared" si="12"/>
        <v>1740960</v>
      </c>
      <c r="D105" s="1004" t="s">
        <v>390</v>
      </c>
      <c r="E105" s="1001">
        <f t="shared" si="13"/>
        <v>5034821</v>
      </c>
      <c r="F105" s="1017"/>
      <c r="G105" s="1013"/>
      <c r="H105" s="1013"/>
    </row>
    <row r="106" spans="1:8">
      <c r="A106" s="1002" t="s">
        <v>80</v>
      </c>
      <c r="B106" s="1029">
        <f t="shared" si="12"/>
        <v>3392844</v>
      </c>
      <c r="C106" s="998">
        <f t="shared" si="12"/>
        <v>1794584</v>
      </c>
      <c r="D106" s="1004" t="s">
        <v>390</v>
      </c>
      <c r="E106" s="1001">
        <f t="shared" si="13"/>
        <v>5187428</v>
      </c>
      <c r="F106" s="1017"/>
      <c r="G106" s="1013"/>
      <c r="H106" s="1013"/>
    </row>
    <row r="107" spans="1:8">
      <c r="A107" s="1002" t="s">
        <v>81</v>
      </c>
      <c r="B107" s="1030">
        <f t="shared" si="12"/>
        <v>3423641</v>
      </c>
      <c r="C107" s="998">
        <f t="shared" si="12"/>
        <v>1755194</v>
      </c>
      <c r="D107" s="1004" t="s">
        <v>388</v>
      </c>
      <c r="E107" s="1001">
        <f t="shared" si="13"/>
        <v>5178835</v>
      </c>
      <c r="F107" s="1017"/>
      <c r="G107" s="1013"/>
      <c r="H107" s="1013"/>
    </row>
    <row r="108" spans="1:8">
      <c r="A108" s="1002" t="s">
        <v>82</v>
      </c>
      <c r="B108" s="1030">
        <v>3447395</v>
      </c>
      <c r="C108" s="998">
        <v>1624772</v>
      </c>
      <c r="D108" s="1004" t="s">
        <v>391</v>
      </c>
      <c r="E108" s="1001">
        <v>5072167</v>
      </c>
      <c r="F108" s="1017"/>
      <c r="G108" s="1013"/>
      <c r="H108" s="1013"/>
    </row>
    <row r="109" spans="1:8">
      <c r="A109" s="1005" t="s">
        <v>280</v>
      </c>
      <c r="B109" s="1006">
        <v>3992156</v>
      </c>
      <c r="C109" s="1007">
        <f>E109-B109</f>
        <v>905508</v>
      </c>
      <c r="D109" s="1008" t="s">
        <v>373</v>
      </c>
      <c r="E109" s="1009">
        <v>4897664</v>
      </c>
      <c r="F109" s="1017"/>
      <c r="G109" s="1013"/>
      <c r="H109" s="1013"/>
    </row>
    <row r="110" spans="1:8" ht="8.25" customHeight="1">
      <c r="A110" s="1031"/>
      <c r="B110" s="1013"/>
      <c r="C110" s="1013"/>
      <c r="D110" s="1013"/>
      <c r="E110" s="1013"/>
      <c r="F110" s="1013"/>
      <c r="G110" s="1013"/>
      <c r="H110" s="1013"/>
    </row>
    <row r="111" spans="1:8" ht="12.6" customHeight="1">
      <c r="A111" s="1019" t="s">
        <v>392</v>
      </c>
      <c r="B111" s="1013"/>
      <c r="C111" s="1013"/>
      <c r="D111" s="1013"/>
      <c r="E111" s="1013"/>
      <c r="F111" s="1013"/>
      <c r="G111" s="1013"/>
      <c r="H111" s="1013"/>
    </row>
    <row r="112" spans="1:8" ht="12.6" customHeight="1">
      <c r="A112" s="1019" t="s">
        <v>393</v>
      </c>
    </row>
    <row r="114" spans="1:9" ht="15.75">
      <c r="A114" s="956" t="s">
        <v>504</v>
      </c>
      <c r="B114" s="979"/>
      <c r="C114" s="979"/>
      <c r="D114" s="979"/>
      <c r="E114" s="979"/>
      <c r="F114" s="979"/>
      <c r="G114" s="979"/>
      <c r="H114" s="979"/>
      <c r="I114" s="979"/>
    </row>
    <row r="116" spans="1:9">
      <c r="A116" s="981"/>
      <c r="B116" s="982"/>
      <c r="C116" s="983" t="s">
        <v>87</v>
      </c>
      <c r="D116" s="983"/>
      <c r="E116" s="984"/>
      <c r="F116" s="982"/>
      <c r="G116" s="983" t="s">
        <v>88</v>
      </c>
      <c r="H116" s="983"/>
      <c r="I116" s="985"/>
    </row>
    <row r="117" spans="1:9">
      <c r="A117" s="986" t="s">
        <v>358</v>
      </c>
      <c r="B117" s="1020" t="s">
        <v>359</v>
      </c>
      <c r="C117" s="989" t="s">
        <v>360</v>
      </c>
      <c r="D117" s="989" t="s">
        <v>361</v>
      </c>
      <c r="E117" s="990" t="s">
        <v>362</v>
      </c>
      <c r="F117" s="1020" t="s">
        <v>359</v>
      </c>
      <c r="G117" s="989" t="s">
        <v>360</v>
      </c>
      <c r="H117" s="989" t="s">
        <v>361</v>
      </c>
      <c r="I117" s="990" t="s">
        <v>362</v>
      </c>
    </row>
    <row r="118" spans="1:9">
      <c r="A118" s="991"/>
      <c r="B118" s="1021" t="s">
        <v>363</v>
      </c>
      <c r="C118" s="994" t="s">
        <v>363</v>
      </c>
      <c r="D118" s="994" t="s">
        <v>364</v>
      </c>
      <c r="E118" s="995" t="s">
        <v>365</v>
      </c>
      <c r="F118" s="1021" t="s">
        <v>363</v>
      </c>
      <c r="G118" s="994" t="s">
        <v>363</v>
      </c>
      <c r="H118" s="994" t="s">
        <v>364</v>
      </c>
      <c r="I118" s="995" t="s">
        <v>365</v>
      </c>
    </row>
    <row r="119" spans="1:9">
      <c r="A119" s="996" t="s">
        <v>71</v>
      </c>
      <c r="B119" s="1022">
        <v>105333</v>
      </c>
      <c r="C119" s="998">
        <v>74137</v>
      </c>
      <c r="D119" s="1000" t="s">
        <v>405</v>
      </c>
      <c r="E119" s="1027">
        <f t="shared" ref="E119:E129" si="14">SUM(B119:C119)</f>
        <v>179470</v>
      </c>
      <c r="F119" s="1022">
        <v>218196</v>
      </c>
      <c r="G119" s="998">
        <v>57653</v>
      </c>
      <c r="H119" s="1000" t="s">
        <v>375</v>
      </c>
      <c r="I119" s="1027">
        <f t="shared" ref="I119:I129" si="15">SUM(F119:G119)</f>
        <v>275849</v>
      </c>
    </row>
    <row r="120" spans="1:9">
      <c r="A120" s="1002" t="s">
        <v>168</v>
      </c>
      <c r="B120" s="997">
        <v>99949</v>
      </c>
      <c r="C120" s="998">
        <v>80854</v>
      </c>
      <c r="D120" s="1004" t="s">
        <v>382</v>
      </c>
      <c r="E120" s="1001">
        <f t="shared" si="14"/>
        <v>180803</v>
      </c>
      <c r="F120" s="997">
        <v>192858</v>
      </c>
      <c r="G120" s="998">
        <v>63732</v>
      </c>
      <c r="H120" s="1004" t="s">
        <v>406</v>
      </c>
      <c r="I120" s="1001">
        <f t="shared" si="15"/>
        <v>256590</v>
      </c>
    </row>
    <row r="121" spans="1:9" hidden="1">
      <c r="A121" s="1002" t="s">
        <v>73</v>
      </c>
      <c r="B121" s="997">
        <v>116208</v>
      </c>
      <c r="C121" s="998">
        <v>70999</v>
      </c>
      <c r="D121" s="1004" t="s">
        <v>407</v>
      </c>
      <c r="E121" s="1001">
        <f t="shared" si="14"/>
        <v>187207</v>
      </c>
      <c r="F121" s="997">
        <v>202717</v>
      </c>
      <c r="G121" s="998">
        <v>59824</v>
      </c>
      <c r="H121" s="1004" t="s">
        <v>377</v>
      </c>
      <c r="I121" s="1001">
        <f t="shared" si="15"/>
        <v>262541</v>
      </c>
    </row>
    <row r="122" spans="1:9">
      <c r="A122" s="1002" t="s">
        <v>74</v>
      </c>
      <c r="B122" s="997">
        <v>120504</v>
      </c>
      <c r="C122" s="998">
        <v>64253</v>
      </c>
      <c r="D122" s="1004" t="s">
        <v>390</v>
      </c>
      <c r="E122" s="1001">
        <f t="shared" si="14"/>
        <v>184757</v>
      </c>
      <c r="F122" s="997">
        <v>200978</v>
      </c>
      <c r="G122" s="998">
        <v>60133</v>
      </c>
      <c r="H122" s="1004" t="s">
        <v>377</v>
      </c>
      <c r="I122" s="1001">
        <f t="shared" si="15"/>
        <v>261111</v>
      </c>
    </row>
    <row r="123" spans="1:9">
      <c r="A123" s="1002" t="s">
        <v>75</v>
      </c>
      <c r="B123" s="997">
        <v>111911</v>
      </c>
      <c r="C123" s="998">
        <v>70116</v>
      </c>
      <c r="D123" s="1004" t="s">
        <v>408</v>
      </c>
      <c r="E123" s="1001">
        <f t="shared" si="14"/>
        <v>182027</v>
      </c>
      <c r="F123" s="997">
        <v>201377</v>
      </c>
      <c r="G123" s="998">
        <v>59553</v>
      </c>
      <c r="H123" s="1004" t="s">
        <v>377</v>
      </c>
      <c r="I123" s="1001">
        <f t="shared" si="15"/>
        <v>260930</v>
      </c>
    </row>
    <row r="124" spans="1:9">
      <c r="A124" s="1002" t="s">
        <v>76</v>
      </c>
      <c r="B124" s="997">
        <v>100501</v>
      </c>
      <c r="C124" s="998">
        <v>68915</v>
      </c>
      <c r="D124" s="1004" t="s">
        <v>409</v>
      </c>
      <c r="E124" s="1001">
        <f t="shared" si="14"/>
        <v>169416</v>
      </c>
      <c r="F124" s="997">
        <v>204698</v>
      </c>
      <c r="G124" s="998">
        <v>56219</v>
      </c>
      <c r="H124" s="1004" t="s">
        <v>376</v>
      </c>
      <c r="I124" s="1001">
        <f t="shared" si="15"/>
        <v>260917</v>
      </c>
    </row>
    <row r="125" spans="1:9">
      <c r="A125" s="1002" t="s">
        <v>77</v>
      </c>
      <c r="B125" s="997">
        <v>97762</v>
      </c>
      <c r="C125" s="998">
        <v>86256</v>
      </c>
      <c r="D125" s="1004" t="s">
        <v>380</v>
      </c>
      <c r="E125" s="1001">
        <f t="shared" si="14"/>
        <v>184018</v>
      </c>
      <c r="F125" s="997">
        <v>194697</v>
      </c>
      <c r="G125" s="998">
        <v>53535</v>
      </c>
      <c r="H125" s="1004" t="s">
        <v>376</v>
      </c>
      <c r="I125" s="1001">
        <f t="shared" si="15"/>
        <v>248232</v>
      </c>
    </row>
    <row r="126" spans="1:9">
      <c r="A126" s="1002" t="s">
        <v>78</v>
      </c>
      <c r="B126" s="997">
        <v>98718</v>
      </c>
      <c r="C126" s="998">
        <v>86155</v>
      </c>
      <c r="D126" s="1004" t="s">
        <v>380</v>
      </c>
      <c r="E126" s="1001">
        <f t="shared" si="14"/>
        <v>184873</v>
      </c>
      <c r="F126" s="997">
        <v>185897</v>
      </c>
      <c r="G126" s="998">
        <v>64210</v>
      </c>
      <c r="H126" s="1004" t="s">
        <v>410</v>
      </c>
      <c r="I126" s="1001">
        <f t="shared" si="15"/>
        <v>250107</v>
      </c>
    </row>
    <row r="127" spans="1:9">
      <c r="A127" s="1002" t="s">
        <v>79</v>
      </c>
      <c r="B127" s="997">
        <v>98647</v>
      </c>
      <c r="C127" s="998">
        <v>98052</v>
      </c>
      <c r="D127" s="1004" t="s">
        <v>385</v>
      </c>
      <c r="E127" s="1001">
        <f t="shared" si="14"/>
        <v>196699</v>
      </c>
      <c r="F127" s="997">
        <v>179992</v>
      </c>
      <c r="G127" s="998">
        <v>60574</v>
      </c>
      <c r="H127" s="1004" t="s">
        <v>406</v>
      </c>
      <c r="I127" s="1001">
        <f t="shared" si="15"/>
        <v>240566</v>
      </c>
    </row>
    <row r="128" spans="1:9">
      <c r="A128" s="1002" t="s">
        <v>80</v>
      </c>
      <c r="B128" s="997">
        <v>103136</v>
      </c>
      <c r="C128" s="998">
        <v>91862</v>
      </c>
      <c r="D128" s="1004" t="s">
        <v>380</v>
      </c>
      <c r="E128" s="1001">
        <f t="shared" si="14"/>
        <v>194998</v>
      </c>
      <c r="F128" s="998">
        <v>185549</v>
      </c>
      <c r="G128" s="998">
        <v>63460</v>
      </c>
      <c r="H128" s="1004" t="s">
        <v>406</v>
      </c>
      <c r="I128" s="1001">
        <f t="shared" si="15"/>
        <v>249009</v>
      </c>
    </row>
    <row r="129" spans="1:9">
      <c r="A129" s="1002" t="s">
        <v>81</v>
      </c>
      <c r="B129" s="997">
        <f>101326-35</f>
        <v>101291</v>
      </c>
      <c r="C129" s="998">
        <v>91433</v>
      </c>
      <c r="D129" s="1004" t="s">
        <v>380</v>
      </c>
      <c r="E129" s="1001">
        <f t="shared" si="14"/>
        <v>192724</v>
      </c>
      <c r="F129" s="998">
        <f>190575-278-64</f>
        <v>190233</v>
      </c>
      <c r="G129" s="998">
        <f>66277-113</f>
        <v>66164</v>
      </c>
      <c r="H129" s="1004" t="s">
        <v>410</v>
      </c>
      <c r="I129" s="1001">
        <f t="shared" si="15"/>
        <v>256397</v>
      </c>
    </row>
    <row r="130" spans="1:9">
      <c r="A130" s="1002" t="s">
        <v>82</v>
      </c>
      <c r="B130" s="997">
        <v>102696</v>
      </c>
      <c r="C130" s="998">
        <v>75010</v>
      </c>
      <c r="D130" s="1004" t="s">
        <v>402</v>
      </c>
      <c r="E130" s="1001">
        <v>177706</v>
      </c>
      <c r="F130" s="998">
        <v>183967</v>
      </c>
      <c r="G130" s="998">
        <v>60920</v>
      </c>
      <c r="H130" s="1004" t="s">
        <v>406</v>
      </c>
      <c r="I130" s="1001">
        <v>244887</v>
      </c>
    </row>
    <row r="131" spans="1:9">
      <c r="A131" s="1005" t="s">
        <v>280</v>
      </c>
      <c r="B131" s="1006">
        <v>129430</v>
      </c>
      <c r="C131" s="1007">
        <v>33297</v>
      </c>
      <c r="D131" s="1008" t="s">
        <v>369</v>
      </c>
      <c r="E131" s="1009">
        <f>SUM(B131:C131)</f>
        <v>162727</v>
      </c>
      <c r="F131" s="1007">
        <v>180446</v>
      </c>
      <c r="G131" s="1007">
        <v>38517</v>
      </c>
      <c r="H131" s="1008" t="s">
        <v>373</v>
      </c>
      <c r="I131" s="1009">
        <f>SUM(F131:G131)</f>
        <v>218963</v>
      </c>
    </row>
    <row r="132" spans="1:9">
      <c r="A132" s="1010"/>
      <c r="B132" s="998"/>
      <c r="C132" s="998"/>
      <c r="D132" s="1004"/>
      <c r="E132" s="998"/>
      <c r="F132" s="998"/>
      <c r="G132" s="998"/>
      <c r="H132" s="1004"/>
      <c r="I132" s="998"/>
    </row>
    <row r="133" spans="1:9">
      <c r="A133" s="981"/>
      <c r="B133" s="1011"/>
      <c r="C133" s="983" t="s">
        <v>89</v>
      </c>
      <c r="D133" s="983"/>
      <c r="E133" s="1012"/>
      <c r="F133" s="982"/>
      <c r="G133" s="983" t="s">
        <v>90</v>
      </c>
      <c r="H133" s="983"/>
      <c r="I133" s="985"/>
    </row>
    <row r="134" spans="1:9">
      <c r="A134" s="986" t="s">
        <v>358</v>
      </c>
      <c r="B134" s="1020" t="s">
        <v>359</v>
      </c>
      <c r="C134" s="989" t="s">
        <v>360</v>
      </c>
      <c r="D134" s="989" t="s">
        <v>361</v>
      </c>
      <c r="E134" s="990" t="s">
        <v>362</v>
      </c>
      <c r="F134" s="1020" t="s">
        <v>359</v>
      </c>
      <c r="G134" s="989" t="s">
        <v>360</v>
      </c>
      <c r="H134" s="989" t="s">
        <v>361</v>
      </c>
      <c r="I134" s="990" t="s">
        <v>362</v>
      </c>
    </row>
    <row r="135" spans="1:9">
      <c r="A135" s="991"/>
      <c r="B135" s="1021" t="s">
        <v>363</v>
      </c>
      <c r="C135" s="994" t="s">
        <v>363</v>
      </c>
      <c r="D135" s="994" t="s">
        <v>364</v>
      </c>
      <c r="E135" s="995" t="s">
        <v>365</v>
      </c>
      <c r="F135" s="1021" t="s">
        <v>363</v>
      </c>
      <c r="G135" s="994" t="s">
        <v>363</v>
      </c>
      <c r="H135" s="994" t="s">
        <v>364</v>
      </c>
      <c r="I135" s="995" t="s">
        <v>365</v>
      </c>
    </row>
    <row r="136" spans="1:9">
      <c r="A136" s="1002" t="s">
        <v>71</v>
      </c>
      <c r="B136" s="997">
        <v>161047</v>
      </c>
      <c r="C136" s="998">
        <v>34701</v>
      </c>
      <c r="D136" s="1000" t="s">
        <v>373</v>
      </c>
      <c r="E136" s="1027">
        <f t="shared" ref="E136:E146" si="16">SUM(B136:C136)</f>
        <v>195748</v>
      </c>
      <c r="F136" s="997">
        <v>110789</v>
      </c>
      <c r="G136" s="998">
        <v>84084</v>
      </c>
      <c r="H136" s="1000" t="s">
        <v>386</v>
      </c>
      <c r="I136" s="1027">
        <f t="shared" ref="I136:I146" si="17">SUM(F136:G136)</f>
        <v>194873</v>
      </c>
    </row>
    <row r="137" spans="1:9">
      <c r="A137" s="1002" t="s">
        <v>168</v>
      </c>
      <c r="B137" s="997">
        <v>155685</v>
      </c>
      <c r="C137" s="998">
        <v>39966</v>
      </c>
      <c r="D137" s="1004" t="s">
        <v>369</v>
      </c>
      <c r="E137" s="1001">
        <f t="shared" si="16"/>
        <v>195651</v>
      </c>
      <c r="F137" s="997">
        <v>102699</v>
      </c>
      <c r="G137" s="998">
        <v>87046</v>
      </c>
      <c r="H137" s="1004" t="s">
        <v>378</v>
      </c>
      <c r="I137" s="1001">
        <f t="shared" si="17"/>
        <v>189745</v>
      </c>
    </row>
    <row r="138" spans="1:9" hidden="1">
      <c r="A138" s="1002" t="s">
        <v>73</v>
      </c>
      <c r="B138" s="997">
        <v>166017</v>
      </c>
      <c r="C138" s="998">
        <v>33548</v>
      </c>
      <c r="D138" s="1004" t="s">
        <v>367</v>
      </c>
      <c r="E138" s="1001">
        <f t="shared" si="16"/>
        <v>199565</v>
      </c>
      <c r="F138" s="997">
        <v>99356</v>
      </c>
      <c r="G138" s="998">
        <v>94875</v>
      </c>
      <c r="H138" s="1004" t="s">
        <v>383</v>
      </c>
      <c r="I138" s="1001">
        <f t="shared" si="17"/>
        <v>194231</v>
      </c>
    </row>
    <row r="139" spans="1:9">
      <c r="A139" s="1002" t="s">
        <v>74</v>
      </c>
      <c r="B139" s="997">
        <v>163714</v>
      </c>
      <c r="C139" s="998">
        <v>32003</v>
      </c>
      <c r="D139" s="1004" t="s">
        <v>411</v>
      </c>
      <c r="E139" s="1001">
        <f t="shared" si="16"/>
        <v>195717</v>
      </c>
      <c r="F139" s="997">
        <v>101337</v>
      </c>
      <c r="G139" s="998">
        <v>81866</v>
      </c>
      <c r="H139" s="1004" t="s">
        <v>382</v>
      </c>
      <c r="I139" s="1001">
        <f t="shared" si="17"/>
        <v>183203</v>
      </c>
    </row>
    <row r="140" spans="1:9">
      <c r="A140" s="1002" t="s">
        <v>75</v>
      </c>
      <c r="B140" s="997">
        <v>164099</v>
      </c>
      <c r="C140" s="998">
        <v>38656</v>
      </c>
      <c r="D140" s="1004" t="s">
        <v>371</v>
      </c>
      <c r="E140" s="1001">
        <f t="shared" si="16"/>
        <v>202755</v>
      </c>
      <c r="F140" s="997">
        <v>100855</v>
      </c>
      <c r="G140" s="998">
        <v>89053</v>
      </c>
      <c r="H140" s="1004" t="s">
        <v>380</v>
      </c>
      <c r="I140" s="1001">
        <f t="shared" si="17"/>
        <v>189908</v>
      </c>
    </row>
    <row r="141" spans="1:9">
      <c r="A141" s="1002" t="s">
        <v>76</v>
      </c>
      <c r="B141" s="997">
        <v>168438</v>
      </c>
      <c r="C141" s="998">
        <v>45120</v>
      </c>
      <c r="D141" s="1004" t="s">
        <v>375</v>
      </c>
      <c r="E141" s="1001">
        <f t="shared" si="16"/>
        <v>213558</v>
      </c>
      <c r="F141" s="997">
        <v>97749</v>
      </c>
      <c r="G141" s="998">
        <v>83047</v>
      </c>
      <c r="H141" s="1004" t="s">
        <v>378</v>
      </c>
      <c r="I141" s="1001">
        <f t="shared" si="17"/>
        <v>180796</v>
      </c>
    </row>
    <row r="142" spans="1:9">
      <c r="A142" s="1002" t="s">
        <v>77</v>
      </c>
      <c r="B142" s="997">
        <v>159445</v>
      </c>
      <c r="C142" s="998">
        <v>41830</v>
      </c>
      <c r="D142" s="1004" t="s">
        <v>375</v>
      </c>
      <c r="E142" s="1001">
        <f t="shared" si="16"/>
        <v>201275</v>
      </c>
      <c r="F142" s="997">
        <v>95096</v>
      </c>
      <c r="G142" s="998">
        <v>83078</v>
      </c>
      <c r="H142" s="1004" t="s">
        <v>380</v>
      </c>
      <c r="I142" s="1001">
        <f t="shared" si="17"/>
        <v>178174</v>
      </c>
    </row>
    <row r="143" spans="1:9">
      <c r="A143" s="1002" t="s">
        <v>78</v>
      </c>
      <c r="B143" s="997">
        <v>160901</v>
      </c>
      <c r="C143" s="998">
        <v>49186</v>
      </c>
      <c r="D143" s="1004" t="s">
        <v>377</v>
      </c>
      <c r="E143" s="1001">
        <f t="shared" si="16"/>
        <v>210087</v>
      </c>
      <c r="F143" s="997">
        <v>95607</v>
      </c>
      <c r="G143" s="998">
        <v>79335</v>
      </c>
      <c r="H143" s="1004" t="s">
        <v>382</v>
      </c>
      <c r="I143" s="1001">
        <f t="shared" si="17"/>
        <v>174942</v>
      </c>
    </row>
    <row r="144" spans="1:9">
      <c r="A144" s="1002" t="s">
        <v>79</v>
      </c>
      <c r="B144" s="997">
        <v>153801</v>
      </c>
      <c r="C144" s="998">
        <v>59730</v>
      </c>
      <c r="D144" s="1004" t="s">
        <v>412</v>
      </c>
      <c r="E144" s="1001">
        <f t="shared" si="16"/>
        <v>213531</v>
      </c>
      <c r="F144" s="997">
        <v>92615</v>
      </c>
      <c r="G144" s="998">
        <v>83972</v>
      </c>
      <c r="H144" s="1004" t="s">
        <v>381</v>
      </c>
      <c r="I144" s="1001">
        <f t="shared" si="17"/>
        <v>176587</v>
      </c>
    </row>
    <row r="145" spans="1:9">
      <c r="A145" s="1002" t="s">
        <v>80</v>
      </c>
      <c r="B145" s="997">
        <v>154379</v>
      </c>
      <c r="C145" s="998">
        <v>53357</v>
      </c>
      <c r="D145" s="1004" t="s">
        <v>410</v>
      </c>
      <c r="E145" s="1001">
        <f t="shared" si="16"/>
        <v>207736</v>
      </c>
      <c r="F145" s="997">
        <v>93651</v>
      </c>
      <c r="G145" s="998">
        <v>80464</v>
      </c>
      <c r="H145" s="1004" t="s">
        <v>378</v>
      </c>
      <c r="I145" s="1001">
        <f t="shared" si="17"/>
        <v>174115</v>
      </c>
    </row>
    <row r="146" spans="1:9">
      <c r="A146" s="1002" t="s">
        <v>81</v>
      </c>
      <c r="B146" s="998">
        <f>154737-1110</f>
        <v>153627</v>
      </c>
      <c r="C146" s="998">
        <f>44308-38</f>
        <v>44270</v>
      </c>
      <c r="D146" s="1004" t="s">
        <v>376</v>
      </c>
      <c r="E146" s="1001">
        <f t="shared" si="16"/>
        <v>197897</v>
      </c>
      <c r="F146" s="998">
        <f>83762-563</f>
        <v>83199</v>
      </c>
      <c r="G146" s="998">
        <f>82294-6</f>
        <v>82288</v>
      </c>
      <c r="H146" s="1004" t="s">
        <v>385</v>
      </c>
      <c r="I146" s="1001">
        <f t="shared" si="17"/>
        <v>165487</v>
      </c>
    </row>
    <row r="147" spans="1:9">
      <c r="A147" s="1002" t="s">
        <v>82</v>
      </c>
      <c r="B147" s="998">
        <v>153173</v>
      </c>
      <c r="C147" s="998">
        <v>41808</v>
      </c>
      <c r="D147" s="1004" t="s">
        <v>375</v>
      </c>
      <c r="E147" s="1001">
        <v>194981</v>
      </c>
      <c r="F147" s="998">
        <v>75381</v>
      </c>
      <c r="G147" s="998">
        <v>72917</v>
      </c>
      <c r="H147" s="1004" t="s">
        <v>383</v>
      </c>
      <c r="I147" s="1001">
        <v>148298</v>
      </c>
    </row>
    <row r="148" spans="1:9">
      <c r="A148" s="1005" t="s">
        <v>280</v>
      </c>
      <c r="B148" s="1006">
        <v>159361</v>
      </c>
      <c r="C148" s="1007">
        <v>34036</v>
      </c>
      <c r="D148" s="1008" t="s">
        <v>373</v>
      </c>
      <c r="E148" s="1009">
        <f>SUM(B148:C148)</f>
        <v>193397</v>
      </c>
      <c r="F148" s="1007">
        <v>120902</v>
      </c>
      <c r="G148" s="1007">
        <v>7551</v>
      </c>
      <c r="H148" s="1008" t="s">
        <v>413</v>
      </c>
      <c r="I148" s="1009">
        <f>SUM(F148:G148)</f>
        <v>128453</v>
      </c>
    </row>
    <row r="149" spans="1:9">
      <c r="A149" s="1013"/>
      <c r="B149" s="1014"/>
      <c r="C149" s="998"/>
      <c r="D149" s="1014"/>
      <c r="E149" s="1015"/>
      <c r="F149" s="1015"/>
      <c r="G149" s="1015"/>
      <c r="H149" s="1015"/>
      <c r="I149" s="1014"/>
    </row>
    <row r="150" spans="1:9">
      <c r="A150" s="1013"/>
      <c r="B150" s="1014"/>
      <c r="D150" s="1014"/>
      <c r="E150" s="1015"/>
      <c r="F150" s="1015"/>
      <c r="G150" s="1015"/>
      <c r="H150" s="1015"/>
      <c r="I150" s="1014"/>
    </row>
    <row r="151" spans="1:9">
      <c r="A151" s="981"/>
      <c r="B151" s="1011"/>
      <c r="C151" s="983" t="s">
        <v>30</v>
      </c>
      <c r="D151" s="983"/>
      <c r="E151" s="985"/>
      <c r="F151" s="1016"/>
      <c r="G151" s="1016"/>
      <c r="H151" s="1016"/>
      <c r="I151" s="1013"/>
    </row>
    <row r="152" spans="1:9">
      <c r="A152" s="986" t="s">
        <v>358</v>
      </c>
      <c r="B152" s="1020" t="s">
        <v>359</v>
      </c>
      <c r="C152" s="989" t="s">
        <v>360</v>
      </c>
      <c r="D152" s="989" t="s">
        <v>361</v>
      </c>
      <c r="E152" s="990" t="s">
        <v>362</v>
      </c>
      <c r="F152" s="1017"/>
      <c r="G152" s="1017"/>
      <c r="H152" s="1017"/>
      <c r="I152" s="1013"/>
    </row>
    <row r="153" spans="1:9">
      <c r="A153" s="1028"/>
      <c r="B153" s="994" t="s">
        <v>363</v>
      </c>
      <c r="C153" s="994" t="s">
        <v>363</v>
      </c>
      <c r="D153" s="994" t="s">
        <v>364</v>
      </c>
      <c r="E153" s="995" t="s">
        <v>365</v>
      </c>
      <c r="F153" s="1017"/>
      <c r="G153" s="1017"/>
      <c r="H153" s="1017"/>
    </row>
    <row r="154" spans="1:9">
      <c r="A154" s="1002" t="s">
        <v>71</v>
      </c>
      <c r="B154" s="1032">
        <f t="shared" ref="B154:C164" si="18">SUM(B119,F119,B136,F136)</f>
        <v>595365</v>
      </c>
      <c r="C154" s="1023">
        <f t="shared" si="18"/>
        <v>250575</v>
      </c>
      <c r="D154" s="1000" t="s">
        <v>414</v>
      </c>
      <c r="E154" s="1027">
        <f t="shared" ref="E154:E164" si="19">SUM(E119,I119,E136,I136)</f>
        <v>845940</v>
      </c>
      <c r="F154" s="1017"/>
      <c r="G154" s="1017"/>
      <c r="H154" s="1017"/>
    </row>
    <row r="155" spans="1:9">
      <c r="A155" s="1002" t="s">
        <v>168</v>
      </c>
      <c r="B155" s="1030">
        <f t="shared" si="18"/>
        <v>551191</v>
      </c>
      <c r="C155" s="998">
        <f t="shared" si="18"/>
        <v>271598</v>
      </c>
      <c r="D155" s="1004" t="s">
        <v>379</v>
      </c>
      <c r="E155" s="1001">
        <f t="shared" si="19"/>
        <v>822789</v>
      </c>
      <c r="F155" s="1017"/>
      <c r="G155" s="1017"/>
      <c r="H155" s="1017"/>
    </row>
    <row r="156" spans="1:9" hidden="1">
      <c r="A156" s="1002" t="s">
        <v>73</v>
      </c>
      <c r="B156" s="1030">
        <f t="shared" si="18"/>
        <v>584298</v>
      </c>
      <c r="C156" s="998">
        <f t="shared" si="18"/>
        <v>259246</v>
      </c>
      <c r="D156" s="1004" t="s">
        <v>415</v>
      </c>
      <c r="E156" s="1001">
        <f t="shared" si="19"/>
        <v>843544</v>
      </c>
      <c r="F156" s="1013"/>
      <c r="G156" s="1013"/>
      <c r="H156" s="1013"/>
    </row>
    <row r="157" spans="1:9">
      <c r="A157" s="1002" t="s">
        <v>74</v>
      </c>
      <c r="B157" s="1030">
        <f t="shared" si="18"/>
        <v>586533</v>
      </c>
      <c r="C157" s="998">
        <f t="shared" si="18"/>
        <v>238255</v>
      </c>
      <c r="D157" s="1004" t="s">
        <v>416</v>
      </c>
      <c r="E157" s="1001">
        <f t="shared" si="19"/>
        <v>824788</v>
      </c>
      <c r="F157" s="1013"/>
      <c r="G157" s="1013"/>
      <c r="H157" s="1013"/>
    </row>
    <row r="158" spans="1:9">
      <c r="A158" s="1002" t="s">
        <v>75</v>
      </c>
      <c r="B158" s="1030">
        <f t="shared" si="18"/>
        <v>578242</v>
      </c>
      <c r="C158" s="998">
        <f t="shared" si="18"/>
        <v>257378</v>
      </c>
      <c r="D158" s="1004" t="s">
        <v>415</v>
      </c>
      <c r="E158" s="1001">
        <f t="shared" si="19"/>
        <v>835620</v>
      </c>
      <c r="F158" s="1013"/>
      <c r="G158" s="1013"/>
      <c r="H158" s="1013"/>
    </row>
    <row r="159" spans="1:9">
      <c r="A159" s="1002" t="s">
        <v>76</v>
      </c>
      <c r="B159" s="1030">
        <f t="shared" si="18"/>
        <v>571386</v>
      </c>
      <c r="C159" s="998">
        <f t="shared" si="18"/>
        <v>253301</v>
      </c>
      <c r="D159" s="1004" t="s">
        <v>415</v>
      </c>
      <c r="E159" s="1001">
        <f t="shared" si="19"/>
        <v>824687</v>
      </c>
      <c r="F159" s="1013"/>
      <c r="G159" s="1013"/>
      <c r="H159" s="1013"/>
    </row>
    <row r="160" spans="1:9">
      <c r="A160" s="1002" t="s">
        <v>77</v>
      </c>
      <c r="B160" s="1030">
        <f t="shared" si="18"/>
        <v>547000</v>
      </c>
      <c r="C160" s="998">
        <f t="shared" si="18"/>
        <v>264699</v>
      </c>
      <c r="D160" s="1004" t="s">
        <v>379</v>
      </c>
      <c r="E160" s="1001">
        <f t="shared" si="19"/>
        <v>811699</v>
      </c>
      <c r="F160" s="1013"/>
      <c r="G160" s="1013"/>
      <c r="H160" s="1013"/>
    </row>
    <row r="161" spans="1:8">
      <c r="A161" s="1002" t="s">
        <v>78</v>
      </c>
      <c r="B161" s="1030">
        <f t="shared" si="18"/>
        <v>541123</v>
      </c>
      <c r="C161" s="998">
        <f t="shared" si="18"/>
        <v>278886</v>
      </c>
      <c r="D161" s="1004" t="s">
        <v>388</v>
      </c>
      <c r="E161" s="1001">
        <f t="shared" si="19"/>
        <v>820009</v>
      </c>
      <c r="F161" s="1013"/>
      <c r="G161" s="1013"/>
      <c r="H161" s="1013"/>
    </row>
    <row r="162" spans="1:8">
      <c r="A162" s="1002" t="s">
        <v>79</v>
      </c>
      <c r="B162" s="1030">
        <f t="shared" si="18"/>
        <v>525055</v>
      </c>
      <c r="C162" s="998">
        <f t="shared" si="18"/>
        <v>302328</v>
      </c>
      <c r="D162" s="1004" t="s">
        <v>404</v>
      </c>
      <c r="E162" s="1001">
        <f t="shared" si="19"/>
        <v>827383</v>
      </c>
      <c r="F162" s="1013"/>
      <c r="G162" s="1013"/>
      <c r="H162" s="1013"/>
    </row>
    <row r="163" spans="1:8">
      <c r="A163" s="1002" t="s">
        <v>80</v>
      </c>
      <c r="B163" s="1030">
        <f t="shared" si="18"/>
        <v>536715</v>
      </c>
      <c r="C163" s="998">
        <f t="shared" si="18"/>
        <v>289143</v>
      </c>
      <c r="D163" s="1004" t="s">
        <v>390</v>
      </c>
      <c r="E163" s="1001">
        <f t="shared" si="19"/>
        <v>825858</v>
      </c>
      <c r="F163" s="1013"/>
      <c r="G163" s="1013"/>
      <c r="H163" s="1013"/>
    </row>
    <row r="164" spans="1:8">
      <c r="A164" s="1002" t="s">
        <v>81</v>
      </c>
      <c r="B164" s="1029">
        <f t="shared" si="18"/>
        <v>528350</v>
      </c>
      <c r="C164" s="998">
        <f t="shared" si="18"/>
        <v>284155</v>
      </c>
      <c r="D164" s="1004" t="s">
        <v>390</v>
      </c>
      <c r="E164" s="1001">
        <f t="shared" si="19"/>
        <v>812505</v>
      </c>
      <c r="F164" s="1013"/>
      <c r="G164" s="1013"/>
      <c r="H164" s="1013"/>
    </row>
    <row r="165" spans="1:8">
      <c r="A165" s="1002" t="s">
        <v>82</v>
      </c>
      <c r="B165" s="1029">
        <v>515217</v>
      </c>
      <c r="C165" s="998">
        <v>250655</v>
      </c>
      <c r="D165" s="1004" t="s">
        <v>379</v>
      </c>
      <c r="E165" s="1001">
        <v>765872</v>
      </c>
      <c r="F165" s="1013"/>
      <c r="G165" s="1013"/>
      <c r="H165" s="1013"/>
    </row>
    <row r="166" spans="1:8">
      <c r="A166" s="1005" t="s">
        <v>280</v>
      </c>
      <c r="B166" s="1006">
        <v>590139</v>
      </c>
      <c r="C166" s="1007">
        <v>113401</v>
      </c>
      <c r="D166" s="1008" t="s">
        <v>411</v>
      </c>
      <c r="E166" s="1009">
        <f>SUM(B166:C166)</f>
        <v>703540</v>
      </c>
      <c r="F166" s="1017"/>
      <c r="G166" s="1013"/>
      <c r="H166" s="1013"/>
    </row>
    <row r="167" spans="1:8" ht="7.5" customHeight="1">
      <c r="B167" s="1013"/>
      <c r="C167" s="1013"/>
      <c r="D167" s="1013"/>
      <c r="E167" s="1013"/>
      <c r="F167" s="1013"/>
      <c r="G167" s="1013"/>
      <c r="H167" s="1013"/>
    </row>
    <row r="168" spans="1:8" ht="12.6" customHeight="1">
      <c r="A168" s="1019" t="s">
        <v>392</v>
      </c>
      <c r="B168" s="1013"/>
      <c r="C168" s="1013"/>
      <c r="D168" s="1013"/>
      <c r="E168" s="1013"/>
      <c r="F168" s="1013"/>
      <c r="G168" s="1013"/>
      <c r="H168" s="1013"/>
    </row>
    <row r="169" spans="1:8" ht="12.6" customHeight="1">
      <c r="A169" s="1019" t="s">
        <v>393</v>
      </c>
    </row>
  </sheetData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Header>&amp;LBundesanstalt für Landwirtschaft
und Ernährung Ref. 423&amp;CStruktur der Mühlenwirtschaft
WJ 2012/13</oddHeader>
    <oddFooter>&amp;L&amp;A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Normal="100" workbookViewId="0">
      <selection activeCell="D5" sqref="D5"/>
    </sheetView>
  </sheetViews>
  <sheetFormatPr baseColWidth="10" defaultRowHeight="15"/>
  <cols>
    <col min="1" max="1" width="13.7109375" style="1035" customWidth="1"/>
    <col min="2" max="2" width="11.42578125" style="1035" customWidth="1"/>
    <col min="3" max="6" width="11.42578125" style="1035"/>
    <col min="7" max="7" width="4.28515625" style="1035" customWidth="1"/>
    <col min="8" max="252" width="11.42578125" style="1035"/>
    <col min="253" max="253" width="13.7109375" style="1035" customWidth="1"/>
    <col min="254" max="254" width="11.42578125" style="1035" customWidth="1"/>
    <col min="255" max="258" width="11.42578125" style="1035"/>
    <col min="259" max="259" width="4.28515625" style="1035" customWidth="1"/>
    <col min="260" max="508" width="11.42578125" style="1035"/>
    <col min="509" max="509" width="13.7109375" style="1035" customWidth="1"/>
    <col min="510" max="510" width="11.42578125" style="1035" customWidth="1"/>
    <col min="511" max="514" width="11.42578125" style="1035"/>
    <col min="515" max="515" width="4.28515625" style="1035" customWidth="1"/>
    <col min="516" max="764" width="11.42578125" style="1035"/>
    <col min="765" max="765" width="13.7109375" style="1035" customWidth="1"/>
    <col min="766" max="766" width="11.42578125" style="1035" customWidth="1"/>
    <col min="767" max="770" width="11.42578125" style="1035"/>
    <col min="771" max="771" width="4.28515625" style="1035" customWidth="1"/>
    <col min="772" max="1020" width="11.42578125" style="1035"/>
    <col min="1021" max="1021" width="13.7109375" style="1035" customWidth="1"/>
    <col min="1022" max="1022" width="11.42578125" style="1035" customWidth="1"/>
    <col min="1023" max="1026" width="11.42578125" style="1035"/>
    <col min="1027" max="1027" width="4.28515625" style="1035" customWidth="1"/>
    <col min="1028" max="1276" width="11.42578125" style="1035"/>
    <col min="1277" max="1277" width="13.7109375" style="1035" customWidth="1"/>
    <col min="1278" max="1278" width="11.42578125" style="1035" customWidth="1"/>
    <col min="1279" max="1282" width="11.42578125" style="1035"/>
    <col min="1283" max="1283" width="4.28515625" style="1035" customWidth="1"/>
    <col min="1284" max="1532" width="11.42578125" style="1035"/>
    <col min="1533" max="1533" width="13.7109375" style="1035" customWidth="1"/>
    <col min="1534" max="1534" width="11.42578125" style="1035" customWidth="1"/>
    <col min="1535" max="1538" width="11.42578125" style="1035"/>
    <col min="1539" max="1539" width="4.28515625" style="1035" customWidth="1"/>
    <col min="1540" max="1788" width="11.42578125" style="1035"/>
    <col min="1789" max="1789" width="13.7109375" style="1035" customWidth="1"/>
    <col min="1790" max="1790" width="11.42578125" style="1035" customWidth="1"/>
    <col min="1791" max="1794" width="11.42578125" style="1035"/>
    <col min="1795" max="1795" width="4.28515625" style="1035" customWidth="1"/>
    <col min="1796" max="2044" width="11.42578125" style="1035"/>
    <col min="2045" max="2045" width="13.7109375" style="1035" customWidth="1"/>
    <col min="2046" max="2046" width="11.42578125" style="1035" customWidth="1"/>
    <col min="2047" max="2050" width="11.42578125" style="1035"/>
    <col min="2051" max="2051" width="4.28515625" style="1035" customWidth="1"/>
    <col min="2052" max="2300" width="11.42578125" style="1035"/>
    <col min="2301" max="2301" width="13.7109375" style="1035" customWidth="1"/>
    <col min="2302" max="2302" width="11.42578125" style="1035" customWidth="1"/>
    <col min="2303" max="2306" width="11.42578125" style="1035"/>
    <col min="2307" max="2307" width="4.28515625" style="1035" customWidth="1"/>
    <col min="2308" max="2556" width="11.42578125" style="1035"/>
    <col min="2557" max="2557" width="13.7109375" style="1035" customWidth="1"/>
    <col min="2558" max="2558" width="11.42578125" style="1035" customWidth="1"/>
    <col min="2559" max="2562" width="11.42578125" style="1035"/>
    <col min="2563" max="2563" width="4.28515625" style="1035" customWidth="1"/>
    <col min="2564" max="2812" width="11.42578125" style="1035"/>
    <col min="2813" max="2813" width="13.7109375" style="1035" customWidth="1"/>
    <col min="2814" max="2814" width="11.42578125" style="1035" customWidth="1"/>
    <col min="2815" max="2818" width="11.42578125" style="1035"/>
    <col min="2819" max="2819" width="4.28515625" style="1035" customWidth="1"/>
    <col min="2820" max="3068" width="11.42578125" style="1035"/>
    <col min="3069" max="3069" width="13.7109375" style="1035" customWidth="1"/>
    <col min="3070" max="3070" width="11.42578125" style="1035" customWidth="1"/>
    <col min="3071" max="3074" width="11.42578125" style="1035"/>
    <col min="3075" max="3075" width="4.28515625" style="1035" customWidth="1"/>
    <col min="3076" max="3324" width="11.42578125" style="1035"/>
    <col min="3325" max="3325" width="13.7109375" style="1035" customWidth="1"/>
    <col min="3326" max="3326" width="11.42578125" style="1035" customWidth="1"/>
    <col min="3327" max="3330" width="11.42578125" style="1035"/>
    <col min="3331" max="3331" width="4.28515625" style="1035" customWidth="1"/>
    <col min="3332" max="3580" width="11.42578125" style="1035"/>
    <col min="3581" max="3581" width="13.7109375" style="1035" customWidth="1"/>
    <col min="3582" max="3582" width="11.42578125" style="1035" customWidth="1"/>
    <col min="3583" max="3586" width="11.42578125" style="1035"/>
    <col min="3587" max="3587" width="4.28515625" style="1035" customWidth="1"/>
    <col min="3588" max="3836" width="11.42578125" style="1035"/>
    <col min="3837" max="3837" width="13.7109375" style="1035" customWidth="1"/>
    <col min="3838" max="3838" width="11.42578125" style="1035" customWidth="1"/>
    <col min="3839" max="3842" width="11.42578125" style="1035"/>
    <col min="3843" max="3843" width="4.28515625" style="1035" customWidth="1"/>
    <col min="3844" max="4092" width="11.42578125" style="1035"/>
    <col min="4093" max="4093" width="13.7109375" style="1035" customWidth="1"/>
    <col min="4094" max="4094" width="11.42578125" style="1035" customWidth="1"/>
    <col min="4095" max="4098" width="11.42578125" style="1035"/>
    <col min="4099" max="4099" width="4.28515625" style="1035" customWidth="1"/>
    <col min="4100" max="4348" width="11.42578125" style="1035"/>
    <col min="4349" max="4349" width="13.7109375" style="1035" customWidth="1"/>
    <col min="4350" max="4350" width="11.42578125" style="1035" customWidth="1"/>
    <col min="4351" max="4354" width="11.42578125" style="1035"/>
    <col min="4355" max="4355" width="4.28515625" style="1035" customWidth="1"/>
    <col min="4356" max="4604" width="11.42578125" style="1035"/>
    <col min="4605" max="4605" width="13.7109375" style="1035" customWidth="1"/>
    <col min="4606" max="4606" width="11.42578125" style="1035" customWidth="1"/>
    <col min="4607" max="4610" width="11.42578125" style="1035"/>
    <col min="4611" max="4611" width="4.28515625" style="1035" customWidth="1"/>
    <col min="4612" max="4860" width="11.42578125" style="1035"/>
    <col min="4861" max="4861" width="13.7109375" style="1035" customWidth="1"/>
    <col min="4862" max="4862" width="11.42578125" style="1035" customWidth="1"/>
    <col min="4863" max="4866" width="11.42578125" style="1035"/>
    <col min="4867" max="4867" width="4.28515625" style="1035" customWidth="1"/>
    <col min="4868" max="5116" width="11.42578125" style="1035"/>
    <col min="5117" max="5117" width="13.7109375" style="1035" customWidth="1"/>
    <col min="5118" max="5118" width="11.42578125" style="1035" customWidth="1"/>
    <col min="5119" max="5122" width="11.42578125" style="1035"/>
    <col min="5123" max="5123" width="4.28515625" style="1035" customWidth="1"/>
    <col min="5124" max="5372" width="11.42578125" style="1035"/>
    <col min="5373" max="5373" width="13.7109375" style="1035" customWidth="1"/>
    <col min="5374" max="5374" width="11.42578125" style="1035" customWidth="1"/>
    <col min="5375" max="5378" width="11.42578125" style="1035"/>
    <col min="5379" max="5379" width="4.28515625" style="1035" customWidth="1"/>
    <col min="5380" max="5628" width="11.42578125" style="1035"/>
    <col min="5629" max="5629" width="13.7109375" style="1035" customWidth="1"/>
    <col min="5630" max="5630" width="11.42578125" style="1035" customWidth="1"/>
    <col min="5631" max="5634" width="11.42578125" style="1035"/>
    <col min="5635" max="5635" width="4.28515625" style="1035" customWidth="1"/>
    <col min="5636" max="5884" width="11.42578125" style="1035"/>
    <col min="5885" max="5885" width="13.7109375" style="1035" customWidth="1"/>
    <col min="5886" max="5886" width="11.42578125" style="1035" customWidth="1"/>
    <col min="5887" max="5890" width="11.42578125" style="1035"/>
    <col min="5891" max="5891" width="4.28515625" style="1035" customWidth="1"/>
    <col min="5892" max="6140" width="11.42578125" style="1035"/>
    <col min="6141" max="6141" width="13.7109375" style="1035" customWidth="1"/>
    <col min="6142" max="6142" width="11.42578125" style="1035" customWidth="1"/>
    <col min="6143" max="6146" width="11.42578125" style="1035"/>
    <col min="6147" max="6147" width="4.28515625" style="1035" customWidth="1"/>
    <col min="6148" max="6396" width="11.42578125" style="1035"/>
    <col min="6397" max="6397" width="13.7109375" style="1035" customWidth="1"/>
    <col min="6398" max="6398" width="11.42578125" style="1035" customWidth="1"/>
    <col min="6399" max="6402" width="11.42578125" style="1035"/>
    <col min="6403" max="6403" width="4.28515625" style="1035" customWidth="1"/>
    <col min="6404" max="6652" width="11.42578125" style="1035"/>
    <col min="6653" max="6653" width="13.7109375" style="1035" customWidth="1"/>
    <col min="6654" max="6654" width="11.42578125" style="1035" customWidth="1"/>
    <col min="6655" max="6658" width="11.42578125" style="1035"/>
    <col min="6659" max="6659" width="4.28515625" style="1035" customWidth="1"/>
    <col min="6660" max="6908" width="11.42578125" style="1035"/>
    <col min="6909" max="6909" width="13.7109375" style="1035" customWidth="1"/>
    <col min="6910" max="6910" width="11.42578125" style="1035" customWidth="1"/>
    <col min="6911" max="6914" width="11.42578125" style="1035"/>
    <col min="6915" max="6915" width="4.28515625" style="1035" customWidth="1"/>
    <col min="6916" max="7164" width="11.42578125" style="1035"/>
    <col min="7165" max="7165" width="13.7109375" style="1035" customWidth="1"/>
    <col min="7166" max="7166" width="11.42578125" style="1035" customWidth="1"/>
    <col min="7167" max="7170" width="11.42578125" style="1035"/>
    <col min="7171" max="7171" width="4.28515625" style="1035" customWidth="1"/>
    <col min="7172" max="7420" width="11.42578125" style="1035"/>
    <col min="7421" max="7421" width="13.7109375" style="1035" customWidth="1"/>
    <col min="7422" max="7422" width="11.42578125" style="1035" customWidth="1"/>
    <col min="7423" max="7426" width="11.42578125" style="1035"/>
    <col min="7427" max="7427" width="4.28515625" style="1035" customWidth="1"/>
    <col min="7428" max="7676" width="11.42578125" style="1035"/>
    <col min="7677" max="7677" width="13.7109375" style="1035" customWidth="1"/>
    <col min="7678" max="7678" width="11.42578125" style="1035" customWidth="1"/>
    <col min="7679" max="7682" width="11.42578125" style="1035"/>
    <col min="7683" max="7683" width="4.28515625" style="1035" customWidth="1"/>
    <col min="7684" max="7932" width="11.42578125" style="1035"/>
    <col min="7933" max="7933" width="13.7109375" style="1035" customWidth="1"/>
    <col min="7934" max="7934" width="11.42578125" style="1035" customWidth="1"/>
    <col min="7935" max="7938" width="11.42578125" style="1035"/>
    <col min="7939" max="7939" width="4.28515625" style="1035" customWidth="1"/>
    <col min="7940" max="8188" width="11.42578125" style="1035"/>
    <col min="8189" max="8189" width="13.7109375" style="1035" customWidth="1"/>
    <col min="8190" max="8190" width="11.42578125" style="1035" customWidth="1"/>
    <col min="8191" max="8194" width="11.42578125" style="1035"/>
    <col min="8195" max="8195" width="4.28515625" style="1035" customWidth="1"/>
    <col min="8196" max="8444" width="11.42578125" style="1035"/>
    <col min="8445" max="8445" width="13.7109375" style="1035" customWidth="1"/>
    <col min="8446" max="8446" width="11.42578125" style="1035" customWidth="1"/>
    <col min="8447" max="8450" width="11.42578125" style="1035"/>
    <col min="8451" max="8451" width="4.28515625" style="1035" customWidth="1"/>
    <col min="8452" max="8700" width="11.42578125" style="1035"/>
    <col min="8701" max="8701" width="13.7109375" style="1035" customWidth="1"/>
    <col min="8702" max="8702" width="11.42578125" style="1035" customWidth="1"/>
    <col min="8703" max="8706" width="11.42578125" style="1035"/>
    <col min="8707" max="8707" width="4.28515625" style="1035" customWidth="1"/>
    <col min="8708" max="8956" width="11.42578125" style="1035"/>
    <col min="8957" max="8957" width="13.7109375" style="1035" customWidth="1"/>
    <col min="8958" max="8958" width="11.42578125" style="1035" customWidth="1"/>
    <col min="8959" max="8962" width="11.42578125" style="1035"/>
    <col min="8963" max="8963" width="4.28515625" style="1035" customWidth="1"/>
    <col min="8964" max="9212" width="11.42578125" style="1035"/>
    <col min="9213" max="9213" width="13.7109375" style="1035" customWidth="1"/>
    <col min="9214" max="9214" width="11.42578125" style="1035" customWidth="1"/>
    <col min="9215" max="9218" width="11.42578125" style="1035"/>
    <col min="9219" max="9219" width="4.28515625" style="1035" customWidth="1"/>
    <col min="9220" max="9468" width="11.42578125" style="1035"/>
    <col min="9469" max="9469" width="13.7109375" style="1035" customWidth="1"/>
    <col min="9470" max="9470" width="11.42578125" style="1035" customWidth="1"/>
    <col min="9471" max="9474" width="11.42578125" style="1035"/>
    <col min="9475" max="9475" width="4.28515625" style="1035" customWidth="1"/>
    <col min="9476" max="9724" width="11.42578125" style="1035"/>
    <col min="9725" max="9725" width="13.7109375" style="1035" customWidth="1"/>
    <col min="9726" max="9726" width="11.42578125" style="1035" customWidth="1"/>
    <col min="9727" max="9730" width="11.42578125" style="1035"/>
    <col min="9731" max="9731" width="4.28515625" style="1035" customWidth="1"/>
    <col min="9732" max="9980" width="11.42578125" style="1035"/>
    <col min="9981" max="9981" width="13.7109375" style="1035" customWidth="1"/>
    <col min="9982" max="9982" width="11.42578125" style="1035" customWidth="1"/>
    <col min="9983" max="9986" width="11.42578125" style="1035"/>
    <col min="9987" max="9987" width="4.28515625" style="1035" customWidth="1"/>
    <col min="9988" max="10236" width="11.42578125" style="1035"/>
    <col min="10237" max="10237" width="13.7109375" style="1035" customWidth="1"/>
    <col min="10238" max="10238" width="11.42578125" style="1035" customWidth="1"/>
    <col min="10239" max="10242" width="11.42578125" style="1035"/>
    <col min="10243" max="10243" width="4.28515625" style="1035" customWidth="1"/>
    <col min="10244" max="10492" width="11.42578125" style="1035"/>
    <col min="10493" max="10493" width="13.7109375" style="1035" customWidth="1"/>
    <col min="10494" max="10494" width="11.42578125" style="1035" customWidth="1"/>
    <col min="10495" max="10498" width="11.42578125" style="1035"/>
    <col min="10499" max="10499" width="4.28515625" style="1035" customWidth="1"/>
    <col min="10500" max="10748" width="11.42578125" style="1035"/>
    <col min="10749" max="10749" width="13.7109375" style="1035" customWidth="1"/>
    <col min="10750" max="10750" width="11.42578125" style="1035" customWidth="1"/>
    <col min="10751" max="10754" width="11.42578125" style="1035"/>
    <col min="10755" max="10755" width="4.28515625" style="1035" customWidth="1"/>
    <col min="10756" max="11004" width="11.42578125" style="1035"/>
    <col min="11005" max="11005" width="13.7109375" style="1035" customWidth="1"/>
    <col min="11006" max="11006" width="11.42578125" style="1035" customWidth="1"/>
    <col min="11007" max="11010" width="11.42578125" style="1035"/>
    <col min="11011" max="11011" width="4.28515625" style="1035" customWidth="1"/>
    <col min="11012" max="11260" width="11.42578125" style="1035"/>
    <col min="11261" max="11261" width="13.7109375" style="1035" customWidth="1"/>
    <col min="11262" max="11262" width="11.42578125" style="1035" customWidth="1"/>
    <col min="11263" max="11266" width="11.42578125" style="1035"/>
    <col min="11267" max="11267" width="4.28515625" style="1035" customWidth="1"/>
    <col min="11268" max="11516" width="11.42578125" style="1035"/>
    <col min="11517" max="11517" width="13.7109375" style="1035" customWidth="1"/>
    <col min="11518" max="11518" width="11.42578125" style="1035" customWidth="1"/>
    <col min="11519" max="11522" width="11.42578125" style="1035"/>
    <col min="11523" max="11523" width="4.28515625" style="1035" customWidth="1"/>
    <col min="11524" max="11772" width="11.42578125" style="1035"/>
    <col min="11773" max="11773" width="13.7109375" style="1035" customWidth="1"/>
    <col min="11774" max="11774" width="11.42578125" style="1035" customWidth="1"/>
    <col min="11775" max="11778" width="11.42578125" style="1035"/>
    <col min="11779" max="11779" width="4.28515625" style="1035" customWidth="1"/>
    <col min="11780" max="12028" width="11.42578125" style="1035"/>
    <col min="12029" max="12029" width="13.7109375" style="1035" customWidth="1"/>
    <col min="12030" max="12030" width="11.42578125" style="1035" customWidth="1"/>
    <col min="12031" max="12034" width="11.42578125" style="1035"/>
    <col min="12035" max="12035" width="4.28515625" style="1035" customWidth="1"/>
    <col min="12036" max="12284" width="11.42578125" style="1035"/>
    <col min="12285" max="12285" width="13.7109375" style="1035" customWidth="1"/>
    <col min="12286" max="12286" width="11.42578125" style="1035" customWidth="1"/>
    <col min="12287" max="12290" width="11.42578125" style="1035"/>
    <col min="12291" max="12291" width="4.28515625" style="1035" customWidth="1"/>
    <col min="12292" max="12540" width="11.42578125" style="1035"/>
    <col min="12541" max="12541" width="13.7109375" style="1035" customWidth="1"/>
    <col min="12542" max="12542" width="11.42578125" style="1035" customWidth="1"/>
    <col min="12543" max="12546" width="11.42578125" style="1035"/>
    <col min="12547" max="12547" width="4.28515625" style="1035" customWidth="1"/>
    <col min="12548" max="12796" width="11.42578125" style="1035"/>
    <col min="12797" max="12797" width="13.7109375" style="1035" customWidth="1"/>
    <col min="12798" max="12798" width="11.42578125" style="1035" customWidth="1"/>
    <col min="12799" max="12802" width="11.42578125" style="1035"/>
    <col min="12803" max="12803" width="4.28515625" style="1035" customWidth="1"/>
    <col min="12804" max="13052" width="11.42578125" style="1035"/>
    <col min="13053" max="13053" width="13.7109375" style="1035" customWidth="1"/>
    <col min="13054" max="13054" width="11.42578125" style="1035" customWidth="1"/>
    <col min="13055" max="13058" width="11.42578125" style="1035"/>
    <col min="13059" max="13059" width="4.28515625" style="1035" customWidth="1"/>
    <col min="13060" max="13308" width="11.42578125" style="1035"/>
    <col min="13309" max="13309" width="13.7109375" style="1035" customWidth="1"/>
    <col min="13310" max="13310" width="11.42578125" style="1035" customWidth="1"/>
    <col min="13311" max="13314" width="11.42578125" style="1035"/>
    <col min="13315" max="13315" width="4.28515625" style="1035" customWidth="1"/>
    <col min="13316" max="13564" width="11.42578125" style="1035"/>
    <col min="13565" max="13565" width="13.7109375" style="1035" customWidth="1"/>
    <col min="13566" max="13566" width="11.42578125" style="1035" customWidth="1"/>
    <col min="13567" max="13570" width="11.42578125" style="1035"/>
    <col min="13571" max="13571" width="4.28515625" style="1035" customWidth="1"/>
    <col min="13572" max="13820" width="11.42578125" style="1035"/>
    <col min="13821" max="13821" width="13.7109375" style="1035" customWidth="1"/>
    <col min="13822" max="13822" width="11.42578125" style="1035" customWidth="1"/>
    <col min="13823" max="13826" width="11.42578125" style="1035"/>
    <col min="13827" max="13827" width="4.28515625" style="1035" customWidth="1"/>
    <col min="13828" max="14076" width="11.42578125" style="1035"/>
    <col min="14077" max="14077" width="13.7109375" style="1035" customWidth="1"/>
    <col min="14078" max="14078" width="11.42578125" style="1035" customWidth="1"/>
    <col min="14079" max="14082" width="11.42578125" style="1035"/>
    <col min="14083" max="14083" width="4.28515625" style="1035" customWidth="1"/>
    <col min="14084" max="14332" width="11.42578125" style="1035"/>
    <col min="14333" max="14333" width="13.7109375" style="1035" customWidth="1"/>
    <col min="14334" max="14334" width="11.42578125" style="1035" customWidth="1"/>
    <col min="14335" max="14338" width="11.42578125" style="1035"/>
    <col min="14339" max="14339" width="4.28515625" style="1035" customWidth="1"/>
    <col min="14340" max="14588" width="11.42578125" style="1035"/>
    <col min="14589" max="14589" width="13.7109375" style="1035" customWidth="1"/>
    <col min="14590" max="14590" width="11.42578125" style="1035" customWidth="1"/>
    <col min="14591" max="14594" width="11.42578125" style="1035"/>
    <col min="14595" max="14595" width="4.28515625" style="1035" customWidth="1"/>
    <col min="14596" max="14844" width="11.42578125" style="1035"/>
    <col min="14845" max="14845" width="13.7109375" style="1035" customWidth="1"/>
    <col min="14846" max="14846" width="11.42578125" style="1035" customWidth="1"/>
    <col min="14847" max="14850" width="11.42578125" style="1035"/>
    <col min="14851" max="14851" width="4.28515625" style="1035" customWidth="1"/>
    <col min="14852" max="15100" width="11.42578125" style="1035"/>
    <col min="15101" max="15101" width="13.7109375" style="1035" customWidth="1"/>
    <col min="15102" max="15102" width="11.42578125" style="1035" customWidth="1"/>
    <col min="15103" max="15106" width="11.42578125" style="1035"/>
    <col min="15107" max="15107" width="4.28515625" style="1035" customWidth="1"/>
    <col min="15108" max="15356" width="11.42578125" style="1035"/>
    <col min="15357" max="15357" width="13.7109375" style="1035" customWidth="1"/>
    <col min="15358" max="15358" width="11.42578125" style="1035" customWidth="1"/>
    <col min="15359" max="15362" width="11.42578125" style="1035"/>
    <col min="15363" max="15363" width="4.28515625" style="1035" customWidth="1"/>
    <col min="15364" max="15612" width="11.42578125" style="1035"/>
    <col min="15613" max="15613" width="13.7109375" style="1035" customWidth="1"/>
    <col min="15614" max="15614" width="11.42578125" style="1035" customWidth="1"/>
    <col min="15615" max="15618" width="11.42578125" style="1035"/>
    <col min="15619" max="15619" width="4.28515625" style="1035" customWidth="1"/>
    <col min="15620" max="15868" width="11.42578125" style="1035"/>
    <col min="15869" max="15869" width="13.7109375" style="1035" customWidth="1"/>
    <col min="15870" max="15870" width="11.42578125" style="1035" customWidth="1"/>
    <col min="15871" max="15874" width="11.42578125" style="1035"/>
    <col min="15875" max="15875" width="4.28515625" style="1035" customWidth="1"/>
    <col min="15876" max="16124" width="11.42578125" style="1035"/>
    <col min="16125" max="16125" width="13.7109375" style="1035" customWidth="1"/>
    <col min="16126" max="16126" width="11.42578125" style="1035" customWidth="1"/>
    <col min="16127" max="16130" width="11.42578125" style="1035"/>
    <col min="16131" max="16131" width="4.28515625" style="1035" customWidth="1"/>
    <col min="16132" max="16384" width="11.42578125" style="1035"/>
  </cols>
  <sheetData>
    <row r="1" spans="1:7" ht="15.75">
      <c r="A1" s="1033" t="s">
        <v>417</v>
      </c>
      <c r="B1" s="1034"/>
      <c r="C1" s="1034"/>
      <c r="D1" s="1034"/>
      <c r="E1" s="1034"/>
      <c r="F1" s="1034"/>
      <c r="G1" s="1034"/>
    </row>
    <row r="2" spans="1:7" ht="15.75" thickBot="1">
      <c r="A2" s="1034"/>
      <c r="B2" s="1034"/>
      <c r="C2" s="1034"/>
      <c r="D2" s="1034"/>
      <c r="E2" s="1034"/>
      <c r="F2" s="1034"/>
      <c r="G2" s="1034"/>
    </row>
    <row r="3" spans="1:7">
      <c r="A3" s="1307" t="s">
        <v>418</v>
      </c>
      <c r="B3" s="1036" t="s">
        <v>419</v>
      </c>
      <c r="C3" s="1309" t="s">
        <v>420</v>
      </c>
      <c r="D3" s="1310"/>
      <c r="E3" s="1311"/>
      <c r="F3" s="1312" t="s">
        <v>421</v>
      </c>
      <c r="G3" s="1037"/>
    </row>
    <row r="4" spans="1:7">
      <c r="A4" s="1308"/>
      <c r="B4" s="1039" t="s">
        <v>276</v>
      </c>
      <c r="C4" s="1040" t="s">
        <v>247</v>
      </c>
      <c r="D4" s="1040" t="s">
        <v>422</v>
      </c>
      <c r="E4" s="1041" t="s">
        <v>250</v>
      </c>
      <c r="F4" s="1313"/>
      <c r="G4" s="1042"/>
    </row>
    <row r="5" spans="1:7">
      <c r="A5" s="1043" t="s">
        <v>247</v>
      </c>
      <c r="B5" s="1044">
        <f>SUM(C5:E5)</f>
        <v>1072352</v>
      </c>
      <c r="C5" s="1045">
        <v>644052</v>
      </c>
      <c r="D5" s="1046">
        <v>304835</v>
      </c>
      <c r="E5" s="1047">
        <v>123465</v>
      </c>
      <c r="F5" s="1047">
        <v>223288</v>
      </c>
    </row>
    <row r="6" spans="1:7">
      <c r="A6" s="1043" t="s">
        <v>422</v>
      </c>
      <c r="B6" s="1044">
        <f>SUM(C6:E6)</f>
        <v>2681907</v>
      </c>
      <c r="C6" s="1045">
        <v>74887</v>
      </c>
      <c r="D6" s="1046">
        <v>2562245</v>
      </c>
      <c r="E6" s="1047">
        <v>44775</v>
      </c>
      <c r="F6" s="1047">
        <v>266949</v>
      </c>
    </row>
    <row r="7" spans="1:7">
      <c r="A7" s="1049" t="s">
        <v>250</v>
      </c>
      <c r="B7" s="1050">
        <f>SUM(C7:E7)</f>
        <v>887342</v>
      </c>
      <c r="C7" s="1051">
        <v>35023</v>
      </c>
      <c r="D7" s="1052">
        <v>66460</v>
      </c>
      <c r="E7" s="1053">
        <v>785859</v>
      </c>
      <c r="F7" s="1054">
        <v>43596</v>
      </c>
    </row>
    <row r="8" spans="1:7">
      <c r="A8" s="1055"/>
      <c r="B8" s="1056"/>
      <c r="C8" s="1057"/>
      <c r="D8" s="1058"/>
      <c r="E8" s="1059"/>
      <c r="F8" s="1060"/>
      <c r="G8" s="1038"/>
    </row>
    <row r="9" spans="1:7">
      <c r="A9" s="1061" t="s">
        <v>330</v>
      </c>
      <c r="B9" s="1044">
        <f>SUM(B5:B7)</f>
        <v>4641601</v>
      </c>
      <c r="C9" s="1045">
        <f>SUM(C5:C7)</f>
        <v>753962</v>
      </c>
      <c r="D9" s="1046">
        <f>SUM(D5:D7)</f>
        <v>2933540</v>
      </c>
      <c r="E9" s="1047">
        <f>SUM(E5:E7)</f>
        <v>954099</v>
      </c>
      <c r="F9" s="1047">
        <f>SUM(F5:F7)</f>
        <v>533833</v>
      </c>
      <c r="G9" s="1048"/>
    </row>
    <row r="10" spans="1:7" ht="15.75" thickBot="1">
      <c r="A10" s="1062"/>
      <c r="B10" s="1063"/>
      <c r="C10" s="1064"/>
      <c r="D10" s="1065"/>
      <c r="E10" s="1066"/>
      <c r="F10" s="1067"/>
      <c r="G10" s="1068"/>
    </row>
    <row r="11" spans="1:7" ht="6" customHeight="1">
      <c r="A11" s="1069"/>
      <c r="B11" s="1069"/>
      <c r="C11" s="1058"/>
      <c r="D11" s="1058"/>
      <c r="E11" s="1058"/>
      <c r="F11" s="1069"/>
      <c r="G11" s="1068"/>
    </row>
    <row r="12" spans="1:7">
      <c r="A12" s="1070" t="s">
        <v>423</v>
      </c>
      <c r="B12" s="1070" t="s">
        <v>424</v>
      </c>
      <c r="C12" s="1071"/>
      <c r="D12" s="1071"/>
      <c r="E12" s="1071"/>
      <c r="F12" s="1071"/>
      <c r="G12" s="1071"/>
    </row>
    <row r="13" spans="1:7">
      <c r="A13" s="1072" t="s">
        <v>425</v>
      </c>
      <c r="B13" s="1073" t="s">
        <v>426</v>
      </c>
      <c r="C13" s="1034"/>
      <c r="D13" s="1074"/>
      <c r="E13" s="1074"/>
      <c r="F13" s="1075"/>
      <c r="G13" s="1076"/>
    </row>
    <row r="14" spans="1:7">
      <c r="A14" s="1072" t="s">
        <v>427</v>
      </c>
      <c r="B14" s="1077" t="s">
        <v>428</v>
      </c>
      <c r="C14" s="1078"/>
      <c r="D14" s="1079"/>
      <c r="E14" s="1079"/>
      <c r="F14" s="1072"/>
      <c r="G14" s="1080"/>
    </row>
    <row r="15" spans="1:7">
      <c r="A15" s="1072" t="s">
        <v>429</v>
      </c>
      <c r="B15" s="1073" t="s">
        <v>430</v>
      </c>
      <c r="C15" s="1034"/>
      <c r="D15" s="1074"/>
      <c r="E15" s="1074"/>
      <c r="F15" s="1075"/>
      <c r="G15" s="1076"/>
    </row>
    <row r="16" spans="1:7">
      <c r="A16" s="1070" t="s">
        <v>431</v>
      </c>
      <c r="B16" s="1070"/>
      <c r="C16" s="1071"/>
      <c r="D16" s="1071"/>
      <c r="E16" s="1071"/>
      <c r="F16" s="1071"/>
      <c r="G16" s="1071"/>
    </row>
    <row r="19" spans="1:7" ht="15.75">
      <c r="A19" s="1033" t="s">
        <v>432</v>
      </c>
    </row>
    <row r="20" spans="1:7" ht="15.75" thickBot="1">
      <c r="A20" s="1038"/>
      <c r="B20" s="1038"/>
      <c r="C20" s="1038"/>
      <c r="D20" s="1038"/>
      <c r="E20" s="1038"/>
      <c r="F20" s="1038"/>
      <c r="G20" s="1038"/>
    </row>
    <row r="21" spans="1:7">
      <c r="A21" s="1307" t="s">
        <v>418</v>
      </c>
      <c r="B21" s="1036" t="s">
        <v>419</v>
      </c>
      <c r="C21" s="1309" t="s">
        <v>420</v>
      </c>
      <c r="D21" s="1310"/>
      <c r="E21" s="1311"/>
      <c r="F21" s="1312" t="s">
        <v>421</v>
      </c>
      <c r="G21" s="1037"/>
    </row>
    <row r="22" spans="1:7">
      <c r="A22" s="1308"/>
      <c r="B22" s="1039" t="s">
        <v>276</v>
      </c>
      <c r="C22" s="1040" t="s">
        <v>247</v>
      </c>
      <c r="D22" s="1040" t="s">
        <v>422</v>
      </c>
      <c r="E22" s="1041" t="s">
        <v>250</v>
      </c>
      <c r="F22" s="1313"/>
      <c r="G22" s="1042"/>
    </row>
    <row r="23" spans="1:7">
      <c r="A23" s="1043" t="s">
        <v>247</v>
      </c>
      <c r="B23" s="1044">
        <f>SUM(C23:E23)</f>
        <v>162727</v>
      </c>
      <c r="C23" s="1045">
        <v>129430</v>
      </c>
      <c r="D23" s="1046">
        <v>16973</v>
      </c>
      <c r="E23" s="1047">
        <v>16324</v>
      </c>
      <c r="F23" s="1047">
        <v>12396</v>
      </c>
    </row>
    <row r="24" spans="1:7">
      <c r="A24" s="1043" t="s">
        <v>422</v>
      </c>
      <c r="B24" s="1044">
        <f>SUM(C24:E24)</f>
        <v>377019</v>
      </c>
      <c r="C24" s="1045">
        <v>33138</v>
      </c>
      <c r="D24" s="1046">
        <v>339807</v>
      </c>
      <c r="E24" s="1047">
        <v>4074</v>
      </c>
      <c r="F24" s="1047">
        <v>22628</v>
      </c>
    </row>
    <row r="25" spans="1:7">
      <c r="A25" s="1049" t="s">
        <v>250</v>
      </c>
      <c r="B25" s="1050">
        <f>SUM(C25:E25)</f>
        <v>128453</v>
      </c>
      <c r="C25" s="1051">
        <v>2536</v>
      </c>
      <c r="D25" s="1052">
        <v>5015</v>
      </c>
      <c r="E25" s="1053">
        <v>120902</v>
      </c>
      <c r="F25" s="1054">
        <v>2157</v>
      </c>
    </row>
    <row r="26" spans="1:7">
      <c r="A26" s="1055"/>
      <c r="B26" s="1056"/>
      <c r="C26" s="1057"/>
      <c r="D26" s="1058"/>
      <c r="E26" s="1059"/>
      <c r="F26" s="1060"/>
      <c r="G26" s="1038"/>
    </row>
    <row r="27" spans="1:7">
      <c r="A27" s="1061" t="s">
        <v>330</v>
      </c>
      <c r="B27" s="1044">
        <f>SUM(B23:B25)</f>
        <v>668199</v>
      </c>
      <c r="C27" s="1045">
        <f>SUM(C23:C25)</f>
        <v>165104</v>
      </c>
      <c r="D27" s="1046">
        <f>SUM(D23:D25)</f>
        <v>361795</v>
      </c>
      <c r="E27" s="1047">
        <f>SUM(E23:E25)</f>
        <v>141300</v>
      </c>
      <c r="F27" s="1047">
        <f>SUM(F23:F25)</f>
        <v>37181</v>
      </c>
      <c r="G27" s="1048"/>
    </row>
    <row r="28" spans="1:7" ht="15.75" thickBot="1">
      <c r="A28" s="1062"/>
      <c r="B28" s="1063"/>
      <c r="C28" s="1064"/>
      <c r="D28" s="1065"/>
      <c r="E28" s="1066"/>
      <c r="F28" s="1067"/>
      <c r="G28" s="1068"/>
    </row>
    <row r="29" spans="1:7" ht="6" customHeight="1">
      <c r="A29" s="1069"/>
      <c r="B29" s="1069"/>
      <c r="C29" s="1058"/>
      <c r="D29" s="1058"/>
      <c r="E29" s="1058"/>
      <c r="F29" s="1069"/>
      <c r="G29" s="1068"/>
    </row>
    <row r="30" spans="1:7">
      <c r="A30" s="1070" t="s">
        <v>423</v>
      </c>
      <c r="B30" s="1070" t="s">
        <v>424</v>
      </c>
      <c r="C30" s="1071"/>
      <c r="D30" s="1071"/>
      <c r="E30" s="1071"/>
      <c r="F30" s="1071"/>
      <c r="G30" s="1071"/>
    </row>
    <row r="31" spans="1:7">
      <c r="A31" s="1072" t="s">
        <v>425</v>
      </c>
      <c r="B31" s="1073" t="s">
        <v>426</v>
      </c>
      <c r="C31" s="1034"/>
      <c r="D31" s="1074"/>
      <c r="E31" s="1074"/>
      <c r="F31" s="1075"/>
      <c r="G31" s="1076"/>
    </row>
    <row r="32" spans="1:7">
      <c r="A32" s="1072" t="s">
        <v>427</v>
      </c>
      <c r="B32" s="1077" t="s">
        <v>428</v>
      </c>
      <c r="C32" s="1078"/>
      <c r="D32" s="1079"/>
      <c r="E32" s="1079"/>
      <c r="F32" s="1072"/>
      <c r="G32" s="1080"/>
    </row>
    <row r="33" spans="1:7">
      <c r="A33" s="1072" t="s">
        <v>429</v>
      </c>
      <c r="B33" s="1073" t="s">
        <v>430</v>
      </c>
      <c r="C33" s="1034"/>
      <c r="D33" s="1074"/>
      <c r="E33" s="1074"/>
      <c r="F33" s="1075"/>
      <c r="G33" s="1076"/>
    </row>
    <row r="34" spans="1:7">
      <c r="A34" s="1070" t="s">
        <v>431</v>
      </c>
      <c r="B34" s="1070"/>
      <c r="C34" s="1071"/>
      <c r="D34" s="1071"/>
      <c r="E34" s="1071"/>
      <c r="F34" s="1071"/>
      <c r="G34" s="1071"/>
    </row>
    <row r="35" spans="1:7">
      <c r="A35" s="1038"/>
      <c r="B35" s="1038"/>
      <c r="C35" s="1038"/>
      <c r="D35" s="1038"/>
      <c r="E35" s="1038"/>
      <c r="F35" s="1038"/>
      <c r="G35" s="1038"/>
    </row>
  </sheetData>
  <mergeCells count="6">
    <mergeCell ref="A3:A4"/>
    <mergeCell ref="C3:E3"/>
    <mergeCell ref="F3:F4"/>
    <mergeCell ref="A21:A22"/>
    <mergeCell ref="C21:E21"/>
    <mergeCell ref="F21:F22"/>
  </mergeCells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showGridLines="0" zoomScaleNormal="100" workbookViewId="0">
      <selection sqref="A1:G17"/>
    </sheetView>
  </sheetViews>
  <sheetFormatPr baseColWidth="10" defaultRowHeight="15"/>
  <cols>
    <col min="1" max="1" width="13.42578125" style="980" customWidth="1"/>
    <col min="2" max="2" width="15.5703125" style="980" customWidth="1"/>
    <col min="3" max="3" width="12.42578125" style="980" customWidth="1"/>
    <col min="4" max="4" width="11.42578125" style="980"/>
    <col min="5" max="5" width="11.85546875" style="980" bestFit="1" customWidth="1"/>
    <col min="6" max="6" width="13.28515625" style="980" bestFit="1" customWidth="1"/>
    <col min="7" max="256" width="11.42578125" style="980"/>
    <col min="257" max="257" width="13.42578125" style="980" customWidth="1"/>
    <col min="258" max="258" width="15.5703125" style="980" customWidth="1"/>
    <col min="259" max="259" width="12.42578125" style="980" customWidth="1"/>
    <col min="260" max="260" width="11.42578125" style="980"/>
    <col min="261" max="261" width="11.85546875" style="980" bestFit="1" customWidth="1"/>
    <col min="262" max="262" width="13.28515625" style="980" bestFit="1" customWidth="1"/>
    <col min="263" max="512" width="11.42578125" style="980"/>
    <col min="513" max="513" width="13.42578125" style="980" customWidth="1"/>
    <col min="514" max="514" width="15.5703125" style="980" customWidth="1"/>
    <col min="515" max="515" width="12.42578125" style="980" customWidth="1"/>
    <col min="516" max="516" width="11.42578125" style="980"/>
    <col min="517" max="517" width="11.85546875" style="980" bestFit="1" customWidth="1"/>
    <col min="518" max="518" width="13.28515625" style="980" bestFit="1" customWidth="1"/>
    <col min="519" max="768" width="11.42578125" style="980"/>
    <col min="769" max="769" width="13.42578125" style="980" customWidth="1"/>
    <col min="770" max="770" width="15.5703125" style="980" customWidth="1"/>
    <col min="771" max="771" width="12.42578125" style="980" customWidth="1"/>
    <col min="772" max="772" width="11.42578125" style="980"/>
    <col min="773" max="773" width="11.85546875" style="980" bestFit="1" customWidth="1"/>
    <col min="774" max="774" width="13.28515625" style="980" bestFit="1" customWidth="1"/>
    <col min="775" max="1024" width="11.42578125" style="980"/>
    <col min="1025" max="1025" width="13.42578125" style="980" customWidth="1"/>
    <col min="1026" max="1026" width="15.5703125" style="980" customWidth="1"/>
    <col min="1027" max="1027" width="12.42578125" style="980" customWidth="1"/>
    <col min="1028" max="1028" width="11.42578125" style="980"/>
    <col min="1029" max="1029" width="11.85546875" style="980" bestFit="1" customWidth="1"/>
    <col min="1030" max="1030" width="13.28515625" style="980" bestFit="1" customWidth="1"/>
    <col min="1031" max="1280" width="11.42578125" style="980"/>
    <col min="1281" max="1281" width="13.42578125" style="980" customWidth="1"/>
    <col min="1282" max="1282" width="15.5703125" style="980" customWidth="1"/>
    <col min="1283" max="1283" width="12.42578125" style="980" customWidth="1"/>
    <col min="1284" max="1284" width="11.42578125" style="980"/>
    <col min="1285" max="1285" width="11.85546875" style="980" bestFit="1" customWidth="1"/>
    <col min="1286" max="1286" width="13.28515625" style="980" bestFit="1" customWidth="1"/>
    <col min="1287" max="1536" width="11.42578125" style="980"/>
    <col min="1537" max="1537" width="13.42578125" style="980" customWidth="1"/>
    <col min="1538" max="1538" width="15.5703125" style="980" customWidth="1"/>
    <col min="1539" max="1539" width="12.42578125" style="980" customWidth="1"/>
    <col min="1540" max="1540" width="11.42578125" style="980"/>
    <col min="1541" max="1541" width="11.85546875" style="980" bestFit="1" customWidth="1"/>
    <col min="1542" max="1542" width="13.28515625" style="980" bestFit="1" customWidth="1"/>
    <col min="1543" max="1792" width="11.42578125" style="980"/>
    <col min="1793" max="1793" width="13.42578125" style="980" customWidth="1"/>
    <col min="1794" max="1794" width="15.5703125" style="980" customWidth="1"/>
    <col min="1795" max="1795" width="12.42578125" style="980" customWidth="1"/>
    <col min="1796" max="1796" width="11.42578125" style="980"/>
    <col min="1797" max="1797" width="11.85546875" style="980" bestFit="1" customWidth="1"/>
    <col min="1798" max="1798" width="13.28515625" style="980" bestFit="1" customWidth="1"/>
    <col min="1799" max="2048" width="11.42578125" style="980"/>
    <col min="2049" max="2049" width="13.42578125" style="980" customWidth="1"/>
    <col min="2050" max="2050" width="15.5703125" style="980" customWidth="1"/>
    <col min="2051" max="2051" width="12.42578125" style="980" customWidth="1"/>
    <col min="2052" max="2052" width="11.42578125" style="980"/>
    <col min="2053" max="2053" width="11.85546875" style="980" bestFit="1" customWidth="1"/>
    <col min="2054" max="2054" width="13.28515625" style="980" bestFit="1" customWidth="1"/>
    <col min="2055" max="2304" width="11.42578125" style="980"/>
    <col min="2305" max="2305" width="13.42578125" style="980" customWidth="1"/>
    <col min="2306" max="2306" width="15.5703125" style="980" customWidth="1"/>
    <col min="2307" max="2307" width="12.42578125" style="980" customWidth="1"/>
    <col min="2308" max="2308" width="11.42578125" style="980"/>
    <col min="2309" max="2309" width="11.85546875" style="980" bestFit="1" customWidth="1"/>
    <col min="2310" max="2310" width="13.28515625" style="980" bestFit="1" customWidth="1"/>
    <col min="2311" max="2560" width="11.42578125" style="980"/>
    <col min="2561" max="2561" width="13.42578125" style="980" customWidth="1"/>
    <col min="2562" max="2562" width="15.5703125" style="980" customWidth="1"/>
    <col min="2563" max="2563" width="12.42578125" style="980" customWidth="1"/>
    <col min="2564" max="2564" width="11.42578125" style="980"/>
    <col min="2565" max="2565" width="11.85546875" style="980" bestFit="1" customWidth="1"/>
    <col min="2566" max="2566" width="13.28515625" style="980" bestFit="1" customWidth="1"/>
    <col min="2567" max="2816" width="11.42578125" style="980"/>
    <col min="2817" max="2817" width="13.42578125" style="980" customWidth="1"/>
    <col min="2818" max="2818" width="15.5703125" style="980" customWidth="1"/>
    <col min="2819" max="2819" width="12.42578125" style="980" customWidth="1"/>
    <col min="2820" max="2820" width="11.42578125" style="980"/>
    <col min="2821" max="2821" width="11.85546875" style="980" bestFit="1" customWidth="1"/>
    <col min="2822" max="2822" width="13.28515625" style="980" bestFit="1" customWidth="1"/>
    <col min="2823" max="3072" width="11.42578125" style="980"/>
    <col min="3073" max="3073" width="13.42578125" style="980" customWidth="1"/>
    <col min="3074" max="3074" width="15.5703125" style="980" customWidth="1"/>
    <col min="3075" max="3075" width="12.42578125" style="980" customWidth="1"/>
    <col min="3076" max="3076" width="11.42578125" style="980"/>
    <col min="3077" max="3077" width="11.85546875" style="980" bestFit="1" customWidth="1"/>
    <col min="3078" max="3078" width="13.28515625" style="980" bestFit="1" customWidth="1"/>
    <col min="3079" max="3328" width="11.42578125" style="980"/>
    <col min="3329" max="3329" width="13.42578125" style="980" customWidth="1"/>
    <col min="3330" max="3330" width="15.5703125" style="980" customWidth="1"/>
    <col min="3331" max="3331" width="12.42578125" style="980" customWidth="1"/>
    <col min="3332" max="3332" width="11.42578125" style="980"/>
    <col min="3333" max="3333" width="11.85546875" style="980" bestFit="1" customWidth="1"/>
    <col min="3334" max="3334" width="13.28515625" style="980" bestFit="1" customWidth="1"/>
    <col min="3335" max="3584" width="11.42578125" style="980"/>
    <col min="3585" max="3585" width="13.42578125" style="980" customWidth="1"/>
    <col min="3586" max="3586" width="15.5703125" style="980" customWidth="1"/>
    <col min="3587" max="3587" width="12.42578125" style="980" customWidth="1"/>
    <col min="3588" max="3588" width="11.42578125" style="980"/>
    <col min="3589" max="3589" width="11.85546875" style="980" bestFit="1" customWidth="1"/>
    <col min="3590" max="3590" width="13.28515625" style="980" bestFit="1" customWidth="1"/>
    <col min="3591" max="3840" width="11.42578125" style="980"/>
    <col min="3841" max="3841" width="13.42578125" style="980" customWidth="1"/>
    <col min="3842" max="3842" width="15.5703125" style="980" customWidth="1"/>
    <col min="3843" max="3843" width="12.42578125" style="980" customWidth="1"/>
    <col min="3844" max="3844" width="11.42578125" style="980"/>
    <col min="3845" max="3845" width="11.85546875" style="980" bestFit="1" customWidth="1"/>
    <col min="3846" max="3846" width="13.28515625" style="980" bestFit="1" customWidth="1"/>
    <col min="3847" max="4096" width="11.42578125" style="980"/>
    <col min="4097" max="4097" width="13.42578125" style="980" customWidth="1"/>
    <col min="4098" max="4098" width="15.5703125" style="980" customWidth="1"/>
    <col min="4099" max="4099" width="12.42578125" style="980" customWidth="1"/>
    <col min="4100" max="4100" width="11.42578125" style="980"/>
    <col min="4101" max="4101" width="11.85546875" style="980" bestFit="1" customWidth="1"/>
    <col min="4102" max="4102" width="13.28515625" style="980" bestFit="1" customWidth="1"/>
    <col min="4103" max="4352" width="11.42578125" style="980"/>
    <col min="4353" max="4353" width="13.42578125" style="980" customWidth="1"/>
    <col min="4354" max="4354" width="15.5703125" style="980" customWidth="1"/>
    <col min="4355" max="4355" width="12.42578125" style="980" customWidth="1"/>
    <col min="4356" max="4356" width="11.42578125" style="980"/>
    <col min="4357" max="4357" width="11.85546875" style="980" bestFit="1" customWidth="1"/>
    <col min="4358" max="4358" width="13.28515625" style="980" bestFit="1" customWidth="1"/>
    <col min="4359" max="4608" width="11.42578125" style="980"/>
    <col min="4609" max="4609" width="13.42578125" style="980" customWidth="1"/>
    <col min="4610" max="4610" width="15.5703125" style="980" customWidth="1"/>
    <col min="4611" max="4611" width="12.42578125" style="980" customWidth="1"/>
    <col min="4612" max="4612" width="11.42578125" style="980"/>
    <col min="4613" max="4613" width="11.85546875" style="980" bestFit="1" customWidth="1"/>
    <col min="4614" max="4614" width="13.28515625" style="980" bestFit="1" customWidth="1"/>
    <col min="4615" max="4864" width="11.42578125" style="980"/>
    <col min="4865" max="4865" width="13.42578125" style="980" customWidth="1"/>
    <col min="4866" max="4866" width="15.5703125" style="980" customWidth="1"/>
    <col min="4867" max="4867" width="12.42578125" style="980" customWidth="1"/>
    <col min="4868" max="4868" width="11.42578125" style="980"/>
    <col min="4869" max="4869" width="11.85546875" style="980" bestFit="1" customWidth="1"/>
    <col min="4870" max="4870" width="13.28515625" style="980" bestFit="1" customWidth="1"/>
    <col min="4871" max="5120" width="11.42578125" style="980"/>
    <col min="5121" max="5121" width="13.42578125" style="980" customWidth="1"/>
    <col min="5122" max="5122" width="15.5703125" style="980" customWidth="1"/>
    <col min="5123" max="5123" width="12.42578125" style="980" customWidth="1"/>
    <col min="5124" max="5124" width="11.42578125" style="980"/>
    <col min="5125" max="5125" width="11.85546875" style="980" bestFit="1" customWidth="1"/>
    <col min="5126" max="5126" width="13.28515625" style="980" bestFit="1" customWidth="1"/>
    <col min="5127" max="5376" width="11.42578125" style="980"/>
    <col min="5377" max="5377" width="13.42578125" style="980" customWidth="1"/>
    <col min="5378" max="5378" width="15.5703125" style="980" customWidth="1"/>
    <col min="5379" max="5379" width="12.42578125" style="980" customWidth="1"/>
    <col min="5380" max="5380" width="11.42578125" style="980"/>
    <col min="5381" max="5381" width="11.85546875" style="980" bestFit="1" customWidth="1"/>
    <col min="5382" max="5382" width="13.28515625" style="980" bestFit="1" customWidth="1"/>
    <col min="5383" max="5632" width="11.42578125" style="980"/>
    <col min="5633" max="5633" width="13.42578125" style="980" customWidth="1"/>
    <col min="5634" max="5634" width="15.5703125" style="980" customWidth="1"/>
    <col min="5635" max="5635" width="12.42578125" style="980" customWidth="1"/>
    <col min="5636" max="5636" width="11.42578125" style="980"/>
    <col min="5637" max="5637" width="11.85546875" style="980" bestFit="1" customWidth="1"/>
    <col min="5638" max="5638" width="13.28515625" style="980" bestFit="1" customWidth="1"/>
    <col min="5639" max="5888" width="11.42578125" style="980"/>
    <col min="5889" max="5889" width="13.42578125" style="980" customWidth="1"/>
    <col min="5890" max="5890" width="15.5703125" style="980" customWidth="1"/>
    <col min="5891" max="5891" width="12.42578125" style="980" customWidth="1"/>
    <col min="5892" max="5892" width="11.42578125" style="980"/>
    <col min="5893" max="5893" width="11.85546875" style="980" bestFit="1" customWidth="1"/>
    <col min="5894" max="5894" width="13.28515625" style="980" bestFit="1" customWidth="1"/>
    <col min="5895" max="6144" width="11.42578125" style="980"/>
    <col min="6145" max="6145" width="13.42578125" style="980" customWidth="1"/>
    <col min="6146" max="6146" width="15.5703125" style="980" customWidth="1"/>
    <col min="6147" max="6147" width="12.42578125" style="980" customWidth="1"/>
    <col min="6148" max="6148" width="11.42578125" style="980"/>
    <col min="6149" max="6149" width="11.85546875" style="980" bestFit="1" customWidth="1"/>
    <col min="6150" max="6150" width="13.28515625" style="980" bestFit="1" customWidth="1"/>
    <col min="6151" max="6400" width="11.42578125" style="980"/>
    <col min="6401" max="6401" width="13.42578125" style="980" customWidth="1"/>
    <col min="6402" max="6402" width="15.5703125" style="980" customWidth="1"/>
    <col min="6403" max="6403" width="12.42578125" style="980" customWidth="1"/>
    <col min="6404" max="6404" width="11.42578125" style="980"/>
    <col min="6405" max="6405" width="11.85546875" style="980" bestFit="1" customWidth="1"/>
    <col min="6406" max="6406" width="13.28515625" style="980" bestFit="1" customWidth="1"/>
    <col min="6407" max="6656" width="11.42578125" style="980"/>
    <col min="6657" max="6657" width="13.42578125" style="980" customWidth="1"/>
    <col min="6658" max="6658" width="15.5703125" style="980" customWidth="1"/>
    <col min="6659" max="6659" width="12.42578125" style="980" customWidth="1"/>
    <col min="6660" max="6660" width="11.42578125" style="980"/>
    <col min="6661" max="6661" width="11.85546875" style="980" bestFit="1" customWidth="1"/>
    <col min="6662" max="6662" width="13.28515625" style="980" bestFit="1" customWidth="1"/>
    <col min="6663" max="6912" width="11.42578125" style="980"/>
    <col min="6913" max="6913" width="13.42578125" style="980" customWidth="1"/>
    <col min="6914" max="6914" width="15.5703125" style="980" customWidth="1"/>
    <col min="6915" max="6915" width="12.42578125" style="980" customWidth="1"/>
    <col min="6916" max="6916" width="11.42578125" style="980"/>
    <col min="6917" max="6917" width="11.85546875" style="980" bestFit="1" customWidth="1"/>
    <col min="6918" max="6918" width="13.28515625" style="980" bestFit="1" customWidth="1"/>
    <col min="6919" max="7168" width="11.42578125" style="980"/>
    <col min="7169" max="7169" width="13.42578125" style="980" customWidth="1"/>
    <col min="7170" max="7170" width="15.5703125" style="980" customWidth="1"/>
    <col min="7171" max="7171" width="12.42578125" style="980" customWidth="1"/>
    <col min="7172" max="7172" width="11.42578125" style="980"/>
    <col min="7173" max="7173" width="11.85546875" style="980" bestFit="1" customWidth="1"/>
    <col min="7174" max="7174" width="13.28515625" style="980" bestFit="1" customWidth="1"/>
    <col min="7175" max="7424" width="11.42578125" style="980"/>
    <col min="7425" max="7425" width="13.42578125" style="980" customWidth="1"/>
    <col min="7426" max="7426" width="15.5703125" style="980" customWidth="1"/>
    <col min="7427" max="7427" width="12.42578125" style="980" customWidth="1"/>
    <col min="7428" max="7428" width="11.42578125" style="980"/>
    <col min="7429" max="7429" width="11.85546875" style="980" bestFit="1" customWidth="1"/>
    <col min="7430" max="7430" width="13.28515625" style="980" bestFit="1" customWidth="1"/>
    <col min="7431" max="7680" width="11.42578125" style="980"/>
    <col min="7681" max="7681" width="13.42578125" style="980" customWidth="1"/>
    <col min="7682" max="7682" width="15.5703125" style="980" customWidth="1"/>
    <col min="7683" max="7683" width="12.42578125" style="980" customWidth="1"/>
    <col min="7684" max="7684" width="11.42578125" style="980"/>
    <col min="7685" max="7685" width="11.85546875" style="980" bestFit="1" customWidth="1"/>
    <col min="7686" max="7686" width="13.28515625" style="980" bestFit="1" customWidth="1"/>
    <col min="7687" max="7936" width="11.42578125" style="980"/>
    <col min="7937" max="7937" width="13.42578125" style="980" customWidth="1"/>
    <col min="7938" max="7938" width="15.5703125" style="980" customWidth="1"/>
    <col min="7939" max="7939" width="12.42578125" style="980" customWidth="1"/>
    <col min="7940" max="7940" width="11.42578125" style="980"/>
    <col min="7941" max="7941" width="11.85546875" style="980" bestFit="1" customWidth="1"/>
    <col min="7942" max="7942" width="13.28515625" style="980" bestFit="1" customWidth="1"/>
    <col min="7943" max="8192" width="11.42578125" style="980"/>
    <col min="8193" max="8193" width="13.42578125" style="980" customWidth="1"/>
    <col min="8194" max="8194" width="15.5703125" style="980" customWidth="1"/>
    <col min="8195" max="8195" width="12.42578125" style="980" customWidth="1"/>
    <col min="8196" max="8196" width="11.42578125" style="980"/>
    <col min="8197" max="8197" width="11.85546875" style="980" bestFit="1" customWidth="1"/>
    <col min="8198" max="8198" width="13.28515625" style="980" bestFit="1" customWidth="1"/>
    <col min="8199" max="8448" width="11.42578125" style="980"/>
    <col min="8449" max="8449" width="13.42578125" style="980" customWidth="1"/>
    <col min="8450" max="8450" width="15.5703125" style="980" customWidth="1"/>
    <col min="8451" max="8451" width="12.42578125" style="980" customWidth="1"/>
    <col min="8452" max="8452" width="11.42578125" style="980"/>
    <col min="8453" max="8453" width="11.85546875" style="980" bestFit="1" customWidth="1"/>
    <col min="8454" max="8454" width="13.28515625" style="980" bestFit="1" customWidth="1"/>
    <col min="8455" max="8704" width="11.42578125" style="980"/>
    <col min="8705" max="8705" width="13.42578125" style="980" customWidth="1"/>
    <col min="8706" max="8706" width="15.5703125" style="980" customWidth="1"/>
    <col min="8707" max="8707" width="12.42578125" style="980" customWidth="1"/>
    <col min="8708" max="8708" width="11.42578125" style="980"/>
    <col min="8709" max="8709" width="11.85546875" style="980" bestFit="1" customWidth="1"/>
    <col min="8710" max="8710" width="13.28515625" style="980" bestFit="1" customWidth="1"/>
    <col min="8711" max="8960" width="11.42578125" style="980"/>
    <col min="8961" max="8961" width="13.42578125" style="980" customWidth="1"/>
    <col min="8962" max="8962" width="15.5703125" style="980" customWidth="1"/>
    <col min="8963" max="8963" width="12.42578125" style="980" customWidth="1"/>
    <col min="8964" max="8964" width="11.42578125" style="980"/>
    <col min="8965" max="8965" width="11.85546875" style="980" bestFit="1" customWidth="1"/>
    <col min="8966" max="8966" width="13.28515625" style="980" bestFit="1" customWidth="1"/>
    <col min="8967" max="9216" width="11.42578125" style="980"/>
    <col min="9217" max="9217" width="13.42578125" style="980" customWidth="1"/>
    <col min="9218" max="9218" width="15.5703125" style="980" customWidth="1"/>
    <col min="9219" max="9219" width="12.42578125" style="980" customWidth="1"/>
    <col min="9220" max="9220" width="11.42578125" style="980"/>
    <col min="9221" max="9221" width="11.85546875" style="980" bestFit="1" customWidth="1"/>
    <col min="9222" max="9222" width="13.28515625" style="980" bestFit="1" customWidth="1"/>
    <col min="9223" max="9472" width="11.42578125" style="980"/>
    <col min="9473" max="9473" width="13.42578125" style="980" customWidth="1"/>
    <col min="9474" max="9474" width="15.5703125" style="980" customWidth="1"/>
    <col min="9475" max="9475" width="12.42578125" style="980" customWidth="1"/>
    <col min="9476" max="9476" width="11.42578125" style="980"/>
    <col min="9477" max="9477" width="11.85546875" style="980" bestFit="1" customWidth="1"/>
    <col min="9478" max="9478" width="13.28515625" style="980" bestFit="1" customWidth="1"/>
    <col min="9479" max="9728" width="11.42578125" style="980"/>
    <col min="9729" max="9729" width="13.42578125" style="980" customWidth="1"/>
    <col min="9730" max="9730" width="15.5703125" style="980" customWidth="1"/>
    <col min="9731" max="9731" width="12.42578125" style="980" customWidth="1"/>
    <col min="9732" max="9732" width="11.42578125" style="980"/>
    <col min="9733" max="9733" width="11.85546875" style="980" bestFit="1" customWidth="1"/>
    <col min="9734" max="9734" width="13.28515625" style="980" bestFit="1" customWidth="1"/>
    <col min="9735" max="9984" width="11.42578125" style="980"/>
    <col min="9985" max="9985" width="13.42578125" style="980" customWidth="1"/>
    <col min="9986" max="9986" width="15.5703125" style="980" customWidth="1"/>
    <col min="9987" max="9987" width="12.42578125" style="980" customWidth="1"/>
    <col min="9988" max="9988" width="11.42578125" style="980"/>
    <col min="9989" max="9989" width="11.85546875" style="980" bestFit="1" customWidth="1"/>
    <col min="9990" max="9990" width="13.28515625" style="980" bestFit="1" customWidth="1"/>
    <col min="9991" max="10240" width="11.42578125" style="980"/>
    <col min="10241" max="10241" width="13.42578125" style="980" customWidth="1"/>
    <col min="10242" max="10242" width="15.5703125" style="980" customWidth="1"/>
    <col min="10243" max="10243" width="12.42578125" style="980" customWidth="1"/>
    <col min="10244" max="10244" width="11.42578125" style="980"/>
    <col min="10245" max="10245" width="11.85546875" style="980" bestFit="1" customWidth="1"/>
    <col min="10246" max="10246" width="13.28515625" style="980" bestFit="1" customWidth="1"/>
    <col min="10247" max="10496" width="11.42578125" style="980"/>
    <col min="10497" max="10497" width="13.42578125" style="980" customWidth="1"/>
    <col min="10498" max="10498" width="15.5703125" style="980" customWidth="1"/>
    <col min="10499" max="10499" width="12.42578125" style="980" customWidth="1"/>
    <col min="10500" max="10500" width="11.42578125" style="980"/>
    <col min="10501" max="10501" width="11.85546875" style="980" bestFit="1" customWidth="1"/>
    <col min="10502" max="10502" width="13.28515625" style="980" bestFit="1" customWidth="1"/>
    <col min="10503" max="10752" width="11.42578125" style="980"/>
    <col min="10753" max="10753" width="13.42578125" style="980" customWidth="1"/>
    <col min="10754" max="10754" width="15.5703125" style="980" customWidth="1"/>
    <col min="10755" max="10755" width="12.42578125" style="980" customWidth="1"/>
    <col min="10756" max="10756" width="11.42578125" style="980"/>
    <col min="10757" max="10757" width="11.85546875" style="980" bestFit="1" customWidth="1"/>
    <col min="10758" max="10758" width="13.28515625" style="980" bestFit="1" customWidth="1"/>
    <col min="10759" max="11008" width="11.42578125" style="980"/>
    <col min="11009" max="11009" width="13.42578125" style="980" customWidth="1"/>
    <col min="11010" max="11010" width="15.5703125" style="980" customWidth="1"/>
    <col min="11011" max="11011" width="12.42578125" style="980" customWidth="1"/>
    <col min="11012" max="11012" width="11.42578125" style="980"/>
    <col min="11013" max="11013" width="11.85546875" style="980" bestFit="1" customWidth="1"/>
    <col min="11014" max="11014" width="13.28515625" style="980" bestFit="1" customWidth="1"/>
    <col min="11015" max="11264" width="11.42578125" style="980"/>
    <col min="11265" max="11265" width="13.42578125" style="980" customWidth="1"/>
    <col min="11266" max="11266" width="15.5703125" style="980" customWidth="1"/>
    <col min="11267" max="11267" width="12.42578125" style="980" customWidth="1"/>
    <col min="11268" max="11268" width="11.42578125" style="980"/>
    <col min="11269" max="11269" width="11.85546875" style="980" bestFit="1" customWidth="1"/>
    <col min="11270" max="11270" width="13.28515625" style="980" bestFit="1" customWidth="1"/>
    <col min="11271" max="11520" width="11.42578125" style="980"/>
    <col min="11521" max="11521" width="13.42578125" style="980" customWidth="1"/>
    <col min="11522" max="11522" width="15.5703125" style="980" customWidth="1"/>
    <col min="11523" max="11523" width="12.42578125" style="980" customWidth="1"/>
    <col min="11524" max="11524" width="11.42578125" style="980"/>
    <col min="11525" max="11525" width="11.85546875" style="980" bestFit="1" customWidth="1"/>
    <col min="11526" max="11526" width="13.28515625" style="980" bestFit="1" customWidth="1"/>
    <col min="11527" max="11776" width="11.42578125" style="980"/>
    <col min="11777" max="11777" width="13.42578125" style="980" customWidth="1"/>
    <col min="11778" max="11778" width="15.5703125" style="980" customWidth="1"/>
    <col min="11779" max="11779" width="12.42578125" style="980" customWidth="1"/>
    <col min="11780" max="11780" width="11.42578125" style="980"/>
    <col min="11781" max="11781" width="11.85546875" style="980" bestFit="1" customWidth="1"/>
    <col min="11782" max="11782" width="13.28515625" style="980" bestFit="1" customWidth="1"/>
    <col min="11783" max="12032" width="11.42578125" style="980"/>
    <col min="12033" max="12033" width="13.42578125" style="980" customWidth="1"/>
    <col min="12034" max="12034" width="15.5703125" style="980" customWidth="1"/>
    <col min="12035" max="12035" width="12.42578125" style="980" customWidth="1"/>
    <col min="12036" max="12036" width="11.42578125" style="980"/>
    <col min="12037" max="12037" width="11.85546875" style="980" bestFit="1" customWidth="1"/>
    <col min="12038" max="12038" width="13.28515625" style="980" bestFit="1" customWidth="1"/>
    <col min="12039" max="12288" width="11.42578125" style="980"/>
    <col min="12289" max="12289" width="13.42578125" style="980" customWidth="1"/>
    <col min="12290" max="12290" width="15.5703125" style="980" customWidth="1"/>
    <col min="12291" max="12291" width="12.42578125" style="980" customWidth="1"/>
    <col min="12292" max="12292" width="11.42578125" style="980"/>
    <col min="12293" max="12293" width="11.85546875" style="980" bestFit="1" customWidth="1"/>
    <col min="12294" max="12294" width="13.28515625" style="980" bestFit="1" customWidth="1"/>
    <col min="12295" max="12544" width="11.42578125" style="980"/>
    <col min="12545" max="12545" width="13.42578125" style="980" customWidth="1"/>
    <col min="12546" max="12546" width="15.5703125" style="980" customWidth="1"/>
    <col min="12547" max="12547" width="12.42578125" style="980" customWidth="1"/>
    <col min="12548" max="12548" width="11.42578125" style="980"/>
    <col min="12549" max="12549" width="11.85546875" style="980" bestFit="1" customWidth="1"/>
    <col min="12550" max="12550" width="13.28515625" style="980" bestFit="1" customWidth="1"/>
    <col min="12551" max="12800" width="11.42578125" style="980"/>
    <col min="12801" max="12801" width="13.42578125" style="980" customWidth="1"/>
    <col min="12802" max="12802" width="15.5703125" style="980" customWidth="1"/>
    <col min="12803" max="12803" width="12.42578125" style="980" customWidth="1"/>
    <col min="12804" max="12804" width="11.42578125" style="980"/>
    <col min="12805" max="12805" width="11.85546875" style="980" bestFit="1" customWidth="1"/>
    <col min="12806" max="12806" width="13.28515625" style="980" bestFit="1" customWidth="1"/>
    <col min="12807" max="13056" width="11.42578125" style="980"/>
    <col min="13057" max="13057" width="13.42578125" style="980" customWidth="1"/>
    <col min="13058" max="13058" width="15.5703125" style="980" customWidth="1"/>
    <col min="13059" max="13059" width="12.42578125" style="980" customWidth="1"/>
    <col min="13060" max="13060" width="11.42578125" style="980"/>
    <col min="13061" max="13061" width="11.85546875" style="980" bestFit="1" customWidth="1"/>
    <col min="13062" max="13062" width="13.28515625" style="980" bestFit="1" customWidth="1"/>
    <col min="13063" max="13312" width="11.42578125" style="980"/>
    <col min="13313" max="13313" width="13.42578125" style="980" customWidth="1"/>
    <col min="13314" max="13314" width="15.5703125" style="980" customWidth="1"/>
    <col min="13315" max="13315" width="12.42578125" style="980" customWidth="1"/>
    <col min="13316" max="13316" width="11.42578125" style="980"/>
    <col min="13317" max="13317" width="11.85546875" style="980" bestFit="1" customWidth="1"/>
    <col min="13318" max="13318" width="13.28515625" style="980" bestFit="1" customWidth="1"/>
    <col min="13319" max="13568" width="11.42578125" style="980"/>
    <col min="13569" max="13569" width="13.42578125" style="980" customWidth="1"/>
    <col min="13570" max="13570" width="15.5703125" style="980" customWidth="1"/>
    <col min="13571" max="13571" width="12.42578125" style="980" customWidth="1"/>
    <col min="13572" max="13572" width="11.42578125" style="980"/>
    <col min="13573" max="13573" width="11.85546875" style="980" bestFit="1" customWidth="1"/>
    <col min="13574" max="13574" width="13.28515625" style="980" bestFit="1" customWidth="1"/>
    <col min="13575" max="13824" width="11.42578125" style="980"/>
    <col min="13825" max="13825" width="13.42578125" style="980" customWidth="1"/>
    <col min="13826" max="13826" width="15.5703125" style="980" customWidth="1"/>
    <col min="13827" max="13827" width="12.42578125" style="980" customWidth="1"/>
    <col min="13828" max="13828" width="11.42578125" style="980"/>
    <col min="13829" max="13829" width="11.85546875" style="980" bestFit="1" customWidth="1"/>
    <col min="13830" max="13830" width="13.28515625" style="980" bestFit="1" customWidth="1"/>
    <col min="13831" max="14080" width="11.42578125" style="980"/>
    <col min="14081" max="14081" width="13.42578125" style="980" customWidth="1"/>
    <col min="14082" max="14082" width="15.5703125" style="980" customWidth="1"/>
    <col min="14083" max="14083" width="12.42578125" style="980" customWidth="1"/>
    <col min="14084" max="14084" width="11.42578125" style="980"/>
    <col min="14085" max="14085" width="11.85546875" style="980" bestFit="1" customWidth="1"/>
    <col min="14086" max="14086" width="13.28515625" style="980" bestFit="1" customWidth="1"/>
    <col min="14087" max="14336" width="11.42578125" style="980"/>
    <col min="14337" max="14337" width="13.42578125" style="980" customWidth="1"/>
    <col min="14338" max="14338" width="15.5703125" style="980" customWidth="1"/>
    <col min="14339" max="14339" width="12.42578125" style="980" customWidth="1"/>
    <col min="14340" max="14340" width="11.42578125" style="980"/>
    <col min="14341" max="14341" width="11.85546875" style="980" bestFit="1" customWidth="1"/>
    <col min="14342" max="14342" width="13.28515625" style="980" bestFit="1" customWidth="1"/>
    <col min="14343" max="14592" width="11.42578125" style="980"/>
    <col min="14593" max="14593" width="13.42578125" style="980" customWidth="1"/>
    <col min="14594" max="14594" width="15.5703125" style="980" customWidth="1"/>
    <col min="14595" max="14595" width="12.42578125" style="980" customWidth="1"/>
    <col min="14596" max="14596" width="11.42578125" style="980"/>
    <col min="14597" max="14597" width="11.85546875" style="980" bestFit="1" customWidth="1"/>
    <col min="14598" max="14598" width="13.28515625" style="980" bestFit="1" customWidth="1"/>
    <col min="14599" max="14848" width="11.42578125" style="980"/>
    <col min="14849" max="14849" width="13.42578125" style="980" customWidth="1"/>
    <col min="14850" max="14850" width="15.5703125" style="980" customWidth="1"/>
    <col min="14851" max="14851" width="12.42578125" style="980" customWidth="1"/>
    <col min="14852" max="14852" width="11.42578125" style="980"/>
    <col min="14853" max="14853" width="11.85546875" style="980" bestFit="1" customWidth="1"/>
    <col min="14854" max="14854" width="13.28515625" style="980" bestFit="1" customWidth="1"/>
    <col min="14855" max="15104" width="11.42578125" style="980"/>
    <col min="15105" max="15105" width="13.42578125" style="980" customWidth="1"/>
    <col min="15106" max="15106" width="15.5703125" style="980" customWidth="1"/>
    <col min="15107" max="15107" width="12.42578125" style="980" customWidth="1"/>
    <col min="15108" max="15108" width="11.42578125" style="980"/>
    <col min="15109" max="15109" width="11.85546875" style="980" bestFit="1" customWidth="1"/>
    <col min="15110" max="15110" width="13.28515625" style="980" bestFit="1" customWidth="1"/>
    <col min="15111" max="15360" width="11.42578125" style="980"/>
    <col min="15361" max="15361" width="13.42578125" style="980" customWidth="1"/>
    <col min="15362" max="15362" width="15.5703125" style="980" customWidth="1"/>
    <col min="15363" max="15363" width="12.42578125" style="980" customWidth="1"/>
    <col min="15364" max="15364" width="11.42578125" style="980"/>
    <col min="15365" max="15365" width="11.85546875" style="980" bestFit="1" customWidth="1"/>
    <col min="15366" max="15366" width="13.28515625" style="980" bestFit="1" customWidth="1"/>
    <col min="15367" max="15616" width="11.42578125" style="980"/>
    <col min="15617" max="15617" width="13.42578125" style="980" customWidth="1"/>
    <col min="15618" max="15618" width="15.5703125" style="980" customWidth="1"/>
    <col min="15619" max="15619" width="12.42578125" style="980" customWidth="1"/>
    <col min="15620" max="15620" width="11.42578125" style="980"/>
    <col min="15621" max="15621" width="11.85546875" style="980" bestFit="1" customWidth="1"/>
    <col min="15622" max="15622" width="13.28515625" style="980" bestFit="1" customWidth="1"/>
    <col min="15623" max="15872" width="11.42578125" style="980"/>
    <col min="15873" max="15873" width="13.42578125" style="980" customWidth="1"/>
    <col min="15874" max="15874" width="15.5703125" style="980" customWidth="1"/>
    <col min="15875" max="15875" width="12.42578125" style="980" customWidth="1"/>
    <col min="15876" max="15876" width="11.42578125" style="980"/>
    <col min="15877" max="15877" width="11.85546875" style="980" bestFit="1" customWidth="1"/>
    <col min="15878" max="15878" width="13.28515625" style="980" bestFit="1" customWidth="1"/>
    <col min="15879" max="16128" width="11.42578125" style="980"/>
    <col min="16129" max="16129" width="13.42578125" style="980" customWidth="1"/>
    <col min="16130" max="16130" width="15.5703125" style="980" customWidth="1"/>
    <col min="16131" max="16131" width="12.42578125" style="980" customWidth="1"/>
    <col min="16132" max="16132" width="11.42578125" style="980"/>
    <col min="16133" max="16133" width="11.85546875" style="980" bestFit="1" customWidth="1"/>
    <col min="16134" max="16134" width="13.28515625" style="980" bestFit="1" customWidth="1"/>
    <col min="16135" max="16384" width="11.42578125" style="980"/>
  </cols>
  <sheetData>
    <row r="1" spans="1:7" ht="15.75">
      <c r="A1" s="979" t="s">
        <v>433</v>
      </c>
      <c r="B1" s="979"/>
      <c r="C1" s="979"/>
      <c r="D1" s="979"/>
      <c r="E1" s="979"/>
      <c r="F1" s="979"/>
      <c r="G1" s="979"/>
    </row>
    <row r="2" spans="1:7" ht="18.75">
      <c r="B2" s="979" t="s">
        <v>434</v>
      </c>
      <c r="C2" s="979"/>
      <c r="D2" s="979"/>
      <c r="E2" s="979"/>
      <c r="F2" s="979"/>
    </row>
    <row r="3" spans="1:7" ht="15.75">
      <c r="B3" s="1081"/>
      <c r="C3" s="979"/>
      <c r="D3" s="979"/>
      <c r="E3" s="979"/>
      <c r="F3" s="979"/>
    </row>
    <row r="4" spans="1:7">
      <c r="A4" s="1082"/>
      <c r="B4" s="1083"/>
      <c r="C4" s="983" t="s">
        <v>87</v>
      </c>
      <c r="D4" s="1012"/>
      <c r="E4" s="1084"/>
      <c r="F4" s="983" t="s">
        <v>88</v>
      </c>
      <c r="G4" s="985"/>
    </row>
    <row r="5" spans="1:7">
      <c r="A5" s="986" t="s">
        <v>435</v>
      </c>
      <c r="B5" s="1085" t="s">
        <v>45</v>
      </c>
      <c r="C5" s="1086" t="s">
        <v>436</v>
      </c>
      <c r="D5" s="1087" t="s">
        <v>437</v>
      </c>
      <c r="E5" s="1085" t="s">
        <v>45</v>
      </c>
      <c r="F5" s="1086" t="s">
        <v>436</v>
      </c>
      <c r="G5" s="1087" t="s">
        <v>437</v>
      </c>
    </row>
    <row r="6" spans="1:7">
      <c r="A6" s="991"/>
      <c r="B6" s="1088" t="s">
        <v>356</v>
      </c>
      <c r="C6" s="1089" t="s">
        <v>438</v>
      </c>
      <c r="D6" s="1090" t="s">
        <v>439</v>
      </c>
      <c r="E6" s="1088" t="s">
        <v>356</v>
      </c>
      <c r="F6" s="1089" t="s">
        <v>438</v>
      </c>
      <c r="G6" s="1090" t="s">
        <v>439</v>
      </c>
    </row>
    <row r="7" spans="1:7">
      <c r="A7" s="1091"/>
      <c r="B7" s="1092"/>
      <c r="C7" s="1093"/>
      <c r="D7" s="1094"/>
      <c r="E7" s="1092"/>
      <c r="F7" s="1093"/>
      <c r="G7" s="1094"/>
    </row>
    <row r="8" spans="1:7">
      <c r="A8" s="1095" t="s">
        <v>71</v>
      </c>
      <c r="B8" s="1096">
        <v>2050014</v>
      </c>
      <c r="C8" s="1097">
        <v>10928</v>
      </c>
      <c r="D8" s="1098">
        <f>C8*100/B8</f>
        <v>0.53306953025686654</v>
      </c>
      <c r="E8" s="1099">
        <v>2187463</v>
      </c>
      <c r="F8" s="1097">
        <v>2558</v>
      </c>
      <c r="G8" s="1098">
        <f>F8*100/E8</f>
        <v>0.11693912079884322</v>
      </c>
    </row>
    <row r="9" spans="1:7">
      <c r="A9" s="1018" t="s">
        <v>168</v>
      </c>
      <c r="B9" s="1100">
        <v>1940289</v>
      </c>
      <c r="C9" s="1101">
        <v>11529</v>
      </c>
      <c r="D9" s="1102">
        <f>C9*100/B9</f>
        <v>0.59418983460711261</v>
      </c>
      <c r="E9" s="1103">
        <v>2093704</v>
      </c>
      <c r="F9" s="1101">
        <v>3075</v>
      </c>
      <c r="G9" s="1102">
        <f>F9*100/E9</f>
        <v>0.14686889837340905</v>
      </c>
    </row>
    <row r="10" spans="1:7" hidden="1">
      <c r="A10" s="1018" t="s">
        <v>73</v>
      </c>
      <c r="B10" s="1100">
        <v>1948084</v>
      </c>
      <c r="C10" s="1101">
        <v>7378</v>
      </c>
      <c r="D10" s="1102">
        <v>0.37873110194426934</v>
      </c>
      <c r="E10" s="1103">
        <v>2241342</v>
      </c>
      <c r="F10" s="1104">
        <v>2790</v>
      </c>
      <c r="G10" s="1102">
        <v>0.12447899517342735</v>
      </c>
    </row>
    <row r="11" spans="1:7">
      <c r="A11" s="1018" t="s">
        <v>74</v>
      </c>
      <c r="B11" s="1100">
        <v>1888072</v>
      </c>
      <c r="C11" s="1101">
        <v>7090</v>
      </c>
      <c r="D11" s="1102">
        <f t="shared" ref="D11:D16" si="0">C11*100/B11</f>
        <v>0.37551534051667523</v>
      </c>
      <c r="E11" s="1103">
        <v>2197088</v>
      </c>
      <c r="F11" s="1104">
        <v>2382</v>
      </c>
      <c r="G11" s="1102">
        <f t="shared" ref="G11:G16" si="1">F11*100/E11</f>
        <v>0.10841623093840574</v>
      </c>
    </row>
    <row r="12" spans="1:7">
      <c r="A12" s="1018" t="s">
        <v>75</v>
      </c>
      <c r="B12" s="1100">
        <v>1862233</v>
      </c>
      <c r="C12" s="1101">
        <v>4834</v>
      </c>
      <c r="D12" s="1102">
        <f t="shared" si="0"/>
        <v>0.25958083655482422</v>
      </c>
      <c r="E12" s="1103">
        <v>2296871</v>
      </c>
      <c r="F12" s="1104">
        <v>2203</v>
      </c>
      <c r="G12" s="1102">
        <f t="shared" si="1"/>
        <v>9.5913092202391859E-2</v>
      </c>
    </row>
    <row r="13" spans="1:7">
      <c r="A13" s="1018" t="s">
        <v>76</v>
      </c>
      <c r="B13" s="1100">
        <v>1913077</v>
      </c>
      <c r="C13" s="1101">
        <v>4169</v>
      </c>
      <c r="D13" s="1102">
        <f t="shared" si="0"/>
        <v>0.21792118142657091</v>
      </c>
      <c r="E13" s="1103">
        <v>2406787</v>
      </c>
      <c r="F13" s="1104">
        <v>6359</v>
      </c>
      <c r="G13" s="1102">
        <f t="shared" si="1"/>
        <v>0.26421116617299328</v>
      </c>
    </row>
    <row r="14" spans="1:7">
      <c r="A14" s="1018" t="s">
        <v>77</v>
      </c>
      <c r="B14" s="1100">
        <v>1805086</v>
      </c>
      <c r="C14" s="1101">
        <v>9389</v>
      </c>
      <c r="D14" s="1102">
        <f t="shared" si="0"/>
        <v>0.52014142262473917</v>
      </c>
      <c r="E14" s="1103">
        <v>2290547</v>
      </c>
      <c r="F14" s="1104">
        <v>11609</v>
      </c>
      <c r="G14" s="1102">
        <f t="shared" si="1"/>
        <v>0.50682216955163983</v>
      </c>
    </row>
    <row r="15" spans="1:7">
      <c r="A15" s="1018" t="s">
        <v>78</v>
      </c>
      <c r="B15" s="1100">
        <v>1853995</v>
      </c>
      <c r="C15" s="1101">
        <v>10442</v>
      </c>
      <c r="D15" s="1102">
        <f t="shared" si="0"/>
        <v>0.56321618990342481</v>
      </c>
      <c r="E15" s="1103">
        <v>2320227</v>
      </c>
      <c r="F15" s="1104">
        <v>7735</v>
      </c>
      <c r="G15" s="1102">
        <f t="shared" si="1"/>
        <v>0.33337255363376084</v>
      </c>
    </row>
    <row r="16" spans="1:7">
      <c r="A16" s="1018" t="s">
        <v>79</v>
      </c>
      <c r="B16" s="1100">
        <v>1725518</v>
      </c>
      <c r="C16" s="1101">
        <v>16359</v>
      </c>
      <c r="D16" s="1102">
        <f t="shared" si="0"/>
        <v>0.94806313234634465</v>
      </c>
      <c r="E16" s="1103">
        <v>2339449</v>
      </c>
      <c r="F16" s="1101">
        <v>8775</v>
      </c>
      <c r="G16" s="1102">
        <f t="shared" si="1"/>
        <v>0.37508832207925885</v>
      </c>
    </row>
    <row r="17" spans="1:7">
      <c r="A17" s="1018" t="s">
        <v>80</v>
      </c>
      <c r="B17" s="1100">
        <v>1718655</v>
      </c>
      <c r="C17" s="1105" t="s">
        <v>440</v>
      </c>
      <c r="D17" s="1102" t="s">
        <v>441</v>
      </c>
      <c r="E17" s="1104">
        <v>2456939</v>
      </c>
      <c r="F17" s="1105" t="s">
        <v>440</v>
      </c>
      <c r="G17" s="1102" t="s">
        <v>442</v>
      </c>
    </row>
    <row r="18" spans="1:7">
      <c r="A18" s="1002" t="s">
        <v>81</v>
      </c>
      <c r="B18" s="1106">
        <v>1745846</v>
      </c>
      <c r="C18" s="1105" t="s">
        <v>440</v>
      </c>
      <c r="D18" s="1102" t="s">
        <v>443</v>
      </c>
      <c r="E18" s="1104">
        <v>2527743</v>
      </c>
      <c r="F18" s="1105" t="s">
        <v>444</v>
      </c>
      <c r="G18" s="1102" t="s">
        <v>445</v>
      </c>
    </row>
    <row r="19" spans="1:7">
      <c r="A19" s="1002" t="s">
        <v>82</v>
      </c>
      <c r="B19" s="1106">
        <v>1650882</v>
      </c>
      <c r="C19" s="1105" t="s">
        <v>440</v>
      </c>
      <c r="D19" s="1102" t="s">
        <v>446</v>
      </c>
      <c r="E19" s="1104">
        <v>2505768</v>
      </c>
      <c r="F19" s="1105" t="s">
        <v>447</v>
      </c>
      <c r="G19" s="1102" t="s">
        <v>448</v>
      </c>
    </row>
    <row r="20" spans="1:7">
      <c r="A20" s="1005" t="s">
        <v>449</v>
      </c>
      <c r="B20" s="1107">
        <v>1794099</v>
      </c>
      <c r="C20" s="1108" t="s">
        <v>440</v>
      </c>
      <c r="D20" s="1109" t="s">
        <v>450</v>
      </c>
      <c r="E20" s="1110">
        <v>2555820</v>
      </c>
      <c r="F20" s="1108" t="s">
        <v>451</v>
      </c>
      <c r="G20" s="1109" t="s">
        <v>452</v>
      </c>
    </row>
    <row r="21" spans="1:7">
      <c r="A21" s="1111"/>
      <c r="B21" s="1112"/>
      <c r="C21" s="1113"/>
      <c r="D21" s="1113"/>
      <c r="E21" s="1114"/>
      <c r="F21" s="1113"/>
      <c r="G21" s="1113"/>
    </row>
    <row r="22" spans="1:7">
      <c r="A22" s="981"/>
      <c r="B22" s="1115"/>
      <c r="C22" s="1116" t="s">
        <v>89</v>
      </c>
      <c r="D22" s="1117"/>
      <c r="E22" s="1118"/>
      <c r="F22" s="1116" t="s">
        <v>90</v>
      </c>
      <c r="G22" s="1117"/>
    </row>
    <row r="23" spans="1:7">
      <c r="A23" s="986" t="s">
        <v>435</v>
      </c>
      <c r="B23" s="1085" t="s">
        <v>45</v>
      </c>
      <c r="C23" s="1086" t="s">
        <v>436</v>
      </c>
      <c r="D23" s="1087" t="s">
        <v>437</v>
      </c>
      <c r="E23" s="1085" t="s">
        <v>45</v>
      </c>
      <c r="F23" s="1086" t="s">
        <v>436</v>
      </c>
      <c r="G23" s="1087" t="s">
        <v>437</v>
      </c>
    </row>
    <row r="24" spans="1:7">
      <c r="A24" s="991"/>
      <c r="B24" s="1088" t="s">
        <v>356</v>
      </c>
      <c r="C24" s="1089" t="s">
        <v>438</v>
      </c>
      <c r="D24" s="1090" t="s">
        <v>439</v>
      </c>
      <c r="E24" s="1088" t="s">
        <v>356</v>
      </c>
      <c r="F24" s="1089" t="s">
        <v>438</v>
      </c>
      <c r="G24" s="1090" t="s">
        <v>439</v>
      </c>
    </row>
    <row r="25" spans="1:7">
      <c r="A25" s="1091"/>
      <c r="B25" s="1119"/>
      <c r="C25" s="1112"/>
      <c r="D25" s="1120"/>
      <c r="E25" s="1121"/>
      <c r="F25" s="1112"/>
      <c r="G25" s="1120"/>
    </row>
    <row r="26" spans="1:7">
      <c r="A26" s="1095" t="s">
        <v>71</v>
      </c>
      <c r="B26" s="1122">
        <v>1850815</v>
      </c>
      <c r="C26" s="1097">
        <v>36257</v>
      </c>
      <c r="D26" s="1098">
        <f>C26*100/B26</f>
        <v>1.9589748300073211</v>
      </c>
      <c r="E26" s="1123">
        <v>1359953</v>
      </c>
      <c r="F26" s="1097">
        <v>348</v>
      </c>
      <c r="G26" s="1098">
        <f>F26*100/E26</f>
        <v>2.5589119623987005E-2</v>
      </c>
    </row>
    <row r="27" spans="1:7">
      <c r="A27" s="1018" t="s">
        <v>163</v>
      </c>
      <c r="B27" s="1124">
        <v>1856177</v>
      </c>
      <c r="C27" s="1101">
        <v>34369</v>
      </c>
      <c r="D27" s="1102">
        <f>C27*100/B27</f>
        <v>1.8516014367164337</v>
      </c>
      <c r="E27" s="1125">
        <v>1378115</v>
      </c>
      <c r="F27" s="1101">
        <v>497</v>
      </c>
      <c r="G27" s="1102">
        <f>F27*100/E27</f>
        <v>3.6063753750594112E-2</v>
      </c>
    </row>
    <row r="28" spans="1:7" hidden="1">
      <c r="A28" s="1018" t="s">
        <v>73</v>
      </c>
      <c r="B28" s="1124">
        <v>1974103</v>
      </c>
      <c r="C28" s="1101">
        <v>34902</v>
      </c>
      <c r="D28" s="1102">
        <v>1.7679928554893032</v>
      </c>
      <c r="E28" s="1125">
        <v>1439464</v>
      </c>
      <c r="F28" s="1101">
        <v>2086</v>
      </c>
      <c r="G28" s="1102">
        <v>0.14491505171369343</v>
      </c>
    </row>
    <row r="29" spans="1:7">
      <c r="A29" s="1018" t="s">
        <v>74</v>
      </c>
      <c r="B29" s="1124">
        <v>1915399</v>
      </c>
      <c r="C29" s="1101">
        <v>30991</v>
      </c>
      <c r="D29" s="1102">
        <f t="shared" ref="D29:D34" si="2">C29*100/B29</f>
        <v>1.6179918648803722</v>
      </c>
      <c r="E29" s="1125">
        <v>1433562</v>
      </c>
      <c r="F29" s="1101">
        <v>5027</v>
      </c>
      <c r="G29" s="1102">
        <f t="shared" ref="G29:G34" si="3">F29*100/E29</f>
        <v>0.35066498693464254</v>
      </c>
    </row>
    <row r="30" spans="1:7">
      <c r="A30" s="1018" t="s">
        <v>75</v>
      </c>
      <c r="B30" s="1124">
        <v>1902524</v>
      </c>
      <c r="C30" s="1101">
        <v>35142</v>
      </c>
      <c r="D30" s="1102">
        <f t="shared" si="2"/>
        <v>1.847125187382656</v>
      </c>
      <c r="E30" s="1125">
        <v>1371264</v>
      </c>
      <c r="F30" s="1101">
        <v>5503</v>
      </c>
      <c r="G30" s="1102">
        <f t="shared" si="3"/>
        <v>0.40130857369551015</v>
      </c>
    </row>
    <row r="31" spans="1:7">
      <c r="A31" s="1018" t="s">
        <v>76</v>
      </c>
      <c r="B31" s="1124">
        <v>2017048</v>
      </c>
      <c r="C31" s="1101">
        <v>24424</v>
      </c>
      <c r="D31" s="1102">
        <f t="shared" si="2"/>
        <v>1.2108784719054777</v>
      </c>
      <c r="E31" s="1125">
        <v>1397511</v>
      </c>
      <c r="F31" s="1101">
        <v>7087</v>
      </c>
      <c r="G31" s="1102">
        <f t="shared" si="3"/>
        <v>0.50711586527762575</v>
      </c>
    </row>
    <row r="32" spans="1:7">
      <c r="A32" s="1018" t="s">
        <v>77</v>
      </c>
      <c r="B32" s="1124">
        <v>1966715</v>
      </c>
      <c r="C32" s="1101">
        <v>26460</v>
      </c>
      <c r="D32" s="1102">
        <f t="shared" si="2"/>
        <v>1.345390664127746</v>
      </c>
      <c r="E32" s="1125">
        <v>1498239</v>
      </c>
      <c r="F32" s="1101">
        <v>3861</v>
      </c>
      <c r="G32" s="1102">
        <f t="shared" si="3"/>
        <v>0.25770254278522986</v>
      </c>
    </row>
    <row r="33" spans="1:7">
      <c r="A33" s="1018" t="s">
        <v>78</v>
      </c>
      <c r="B33" s="1124">
        <v>2039458</v>
      </c>
      <c r="C33" s="1101">
        <v>36561</v>
      </c>
      <c r="D33" s="1102">
        <f t="shared" si="2"/>
        <v>1.7926821734009721</v>
      </c>
      <c r="E33" s="1125">
        <v>1536314</v>
      </c>
      <c r="F33" s="1101">
        <v>9123</v>
      </c>
      <c r="G33" s="1102">
        <f t="shared" si="3"/>
        <v>0.59382391880826446</v>
      </c>
    </row>
    <row r="34" spans="1:7">
      <c r="A34" s="1018" t="s">
        <v>79</v>
      </c>
      <c r="B34" s="1124">
        <v>2086336</v>
      </c>
      <c r="C34" s="1101">
        <v>23884</v>
      </c>
      <c r="D34" s="1102">
        <f t="shared" si="2"/>
        <v>1.144782048529096</v>
      </c>
      <c r="E34" s="1125">
        <v>1497032</v>
      </c>
      <c r="F34" s="1104">
        <v>9019</v>
      </c>
      <c r="G34" s="1102">
        <f t="shared" si="3"/>
        <v>0.60245873167707842</v>
      </c>
    </row>
    <row r="35" spans="1:7">
      <c r="A35" s="1018" t="s">
        <v>80</v>
      </c>
      <c r="B35" s="1124">
        <v>2168237</v>
      </c>
      <c r="C35" s="1105" t="s">
        <v>453</v>
      </c>
      <c r="D35" s="1102" t="s">
        <v>454</v>
      </c>
      <c r="E35" s="1103">
        <v>1574431</v>
      </c>
      <c r="F35" s="1126" t="s">
        <v>444</v>
      </c>
      <c r="G35" s="1102" t="s">
        <v>455</v>
      </c>
    </row>
    <row r="36" spans="1:7">
      <c r="A36" s="1002" t="s">
        <v>81</v>
      </c>
      <c r="B36" s="1106">
        <v>2158032</v>
      </c>
      <c r="C36" s="1105" t="s">
        <v>456</v>
      </c>
      <c r="D36" s="1102" t="s">
        <v>457</v>
      </c>
      <c r="E36" s="1104">
        <v>1568856</v>
      </c>
      <c r="F36" s="1126" t="s">
        <v>444</v>
      </c>
      <c r="G36" s="1102" t="s">
        <v>455</v>
      </c>
    </row>
    <row r="37" spans="1:7">
      <c r="A37" s="1002" t="s">
        <v>82</v>
      </c>
      <c r="B37" s="1106">
        <v>2140843</v>
      </c>
      <c r="C37" s="1105" t="s">
        <v>458</v>
      </c>
      <c r="D37" s="1102" t="s">
        <v>459</v>
      </c>
      <c r="E37" s="1104">
        <v>1508818</v>
      </c>
      <c r="F37" s="1126" t="s">
        <v>460</v>
      </c>
      <c r="G37" s="1102" t="s">
        <v>461</v>
      </c>
    </row>
    <row r="38" spans="1:7" ht="15" customHeight="1">
      <c r="A38" s="1005" t="s">
        <v>449</v>
      </c>
      <c r="B38" s="1107">
        <v>2112335</v>
      </c>
      <c r="C38" s="1108" t="s">
        <v>462</v>
      </c>
      <c r="D38" s="1109" t="s">
        <v>463</v>
      </c>
      <c r="E38" s="1110">
        <v>1570221</v>
      </c>
      <c r="F38" s="1127" t="s">
        <v>440</v>
      </c>
      <c r="G38" s="1109" t="s">
        <v>464</v>
      </c>
    </row>
    <row r="39" spans="1:7" ht="15" customHeight="1">
      <c r="A39" s="1128"/>
      <c r="B39" s="1129"/>
      <c r="D39" s="1129"/>
      <c r="E39" s="1130"/>
      <c r="F39" s="1130"/>
      <c r="G39" s="1131"/>
    </row>
    <row r="40" spans="1:7">
      <c r="A40" s="1132"/>
      <c r="B40" s="1133"/>
      <c r="C40" s="1134" t="s">
        <v>30</v>
      </c>
      <c r="D40" s="1117"/>
      <c r="E40" s="1130"/>
      <c r="F40" s="1130"/>
      <c r="G40" s="1131"/>
    </row>
    <row r="41" spans="1:7">
      <c r="A41" s="1091"/>
      <c r="B41" s="1085" t="s">
        <v>465</v>
      </c>
      <c r="C41" s="1135"/>
      <c r="D41" s="1136"/>
      <c r="E41" s="1137"/>
      <c r="F41" s="1137"/>
      <c r="G41" s="1138"/>
    </row>
    <row r="42" spans="1:7">
      <c r="A42" s="986" t="s">
        <v>435</v>
      </c>
      <c r="B42" s="1085" t="s">
        <v>466</v>
      </c>
      <c r="C42" s="1086" t="s">
        <v>436</v>
      </c>
      <c r="D42" s="1087" t="s">
        <v>437</v>
      </c>
      <c r="E42" s="1130"/>
      <c r="F42" s="1130"/>
      <c r="G42" s="1138"/>
    </row>
    <row r="43" spans="1:7">
      <c r="A43" s="991"/>
      <c r="B43" s="1088" t="s">
        <v>356</v>
      </c>
      <c r="C43" s="1089" t="s">
        <v>438</v>
      </c>
      <c r="D43" s="1090" t="s">
        <v>439</v>
      </c>
      <c r="E43" s="1130"/>
      <c r="F43" s="1130"/>
      <c r="G43" s="1138"/>
    </row>
    <row r="44" spans="1:7">
      <c r="A44" s="1139"/>
      <c r="B44" s="1112"/>
      <c r="C44" s="1112"/>
      <c r="D44" s="1120"/>
      <c r="E44" s="1130"/>
      <c r="F44" s="1130"/>
      <c r="G44" s="1138"/>
    </row>
    <row r="45" spans="1:7">
      <c r="A45" s="1018" t="s">
        <v>71</v>
      </c>
      <c r="B45" s="1140">
        <f>SUM(B8,E8,B26,E26)</f>
        <v>7448245</v>
      </c>
      <c r="C45" s="1097">
        <v>50091</v>
      </c>
      <c r="D45" s="1098">
        <f>C45*100/B45</f>
        <v>0.67252084215811914</v>
      </c>
      <c r="E45" s="1130"/>
      <c r="F45" s="1130"/>
      <c r="G45" s="1138"/>
    </row>
    <row r="46" spans="1:7">
      <c r="A46" s="1018" t="s">
        <v>168</v>
      </c>
      <c r="B46" s="1141">
        <f>SUM(B9,E9,B27,E27)</f>
        <v>7268285</v>
      </c>
      <c r="C46" s="1101">
        <v>49470</v>
      </c>
      <c r="D46" s="1102">
        <f>C46*100/B46</f>
        <v>0.68062823623454505</v>
      </c>
      <c r="E46" s="1130"/>
      <c r="F46" s="1130"/>
      <c r="G46" s="1138"/>
    </row>
    <row r="47" spans="1:7" hidden="1">
      <c r="A47" s="1018" t="s">
        <v>73</v>
      </c>
      <c r="B47" s="1141">
        <v>7933422</v>
      </c>
      <c r="C47" s="1101">
        <v>47156</v>
      </c>
      <c r="D47" s="1102">
        <v>0.59439671808710037</v>
      </c>
      <c r="E47" s="1130"/>
      <c r="F47" s="1130"/>
      <c r="G47" s="1138"/>
    </row>
    <row r="48" spans="1:7">
      <c r="A48" s="1018" t="s">
        <v>74</v>
      </c>
      <c r="B48" s="1141">
        <f t="shared" ref="B48:B55" si="4">SUM(B11,E11,B29,E29)</f>
        <v>7434121</v>
      </c>
      <c r="C48" s="1101">
        <v>45490</v>
      </c>
      <c r="D48" s="1102">
        <f t="shared" ref="D48:D57" si="5">C48*100/B48</f>
        <v>0.61190825384736136</v>
      </c>
      <c r="E48" s="1130"/>
      <c r="F48" s="1130"/>
      <c r="G48" s="1138"/>
    </row>
    <row r="49" spans="1:8">
      <c r="A49" s="1018" t="s">
        <v>75</v>
      </c>
      <c r="B49" s="1141">
        <f t="shared" si="4"/>
        <v>7432892</v>
      </c>
      <c r="C49" s="1101">
        <v>47682</v>
      </c>
      <c r="D49" s="1102">
        <f t="shared" si="5"/>
        <v>0.64149997067090436</v>
      </c>
      <c r="E49" s="1130"/>
      <c r="F49" s="1130"/>
      <c r="G49" s="1138"/>
    </row>
    <row r="50" spans="1:8">
      <c r="A50" s="1018" t="s">
        <v>76</v>
      </c>
      <c r="B50" s="1141">
        <f t="shared" si="4"/>
        <v>7734423</v>
      </c>
      <c r="C50" s="1101">
        <v>42039</v>
      </c>
      <c r="D50" s="1102">
        <f t="shared" si="5"/>
        <v>0.54353117226714909</v>
      </c>
      <c r="E50" s="1130"/>
      <c r="F50" s="1130"/>
      <c r="G50" s="1138"/>
    </row>
    <row r="51" spans="1:8">
      <c r="A51" s="1018" t="s">
        <v>77</v>
      </c>
      <c r="B51" s="1141">
        <f t="shared" si="4"/>
        <v>7560587</v>
      </c>
      <c r="C51" s="1101">
        <v>51319</v>
      </c>
      <c r="D51" s="1102">
        <f t="shared" si="5"/>
        <v>0.67877004788120288</v>
      </c>
      <c r="E51" s="1130"/>
      <c r="F51" s="1130"/>
      <c r="G51" s="1138"/>
    </row>
    <row r="52" spans="1:8">
      <c r="A52" s="1018" t="s">
        <v>78</v>
      </c>
      <c r="B52" s="1141">
        <f t="shared" si="4"/>
        <v>7749994</v>
      </c>
      <c r="C52" s="1101">
        <v>63861</v>
      </c>
      <c r="D52" s="1102">
        <f t="shared" si="5"/>
        <v>0.82401354117177383</v>
      </c>
      <c r="E52" s="1130"/>
      <c r="F52" s="1130"/>
      <c r="G52" s="1138"/>
    </row>
    <row r="53" spans="1:8">
      <c r="A53" s="1018" t="s">
        <v>79</v>
      </c>
      <c r="B53" s="1141">
        <f t="shared" si="4"/>
        <v>7648335</v>
      </c>
      <c r="C53" s="1101">
        <v>58037</v>
      </c>
      <c r="D53" s="1102">
        <f t="shared" si="5"/>
        <v>0.75881874944023764</v>
      </c>
      <c r="E53" s="1130"/>
      <c r="F53" s="1130"/>
      <c r="G53" s="1138"/>
    </row>
    <row r="54" spans="1:8">
      <c r="A54" s="1018" t="s">
        <v>80</v>
      </c>
      <c r="B54" s="1141">
        <f t="shared" si="4"/>
        <v>7918262</v>
      </c>
      <c r="C54" s="1101">
        <v>53208</v>
      </c>
      <c r="D54" s="1102">
        <f t="shared" si="5"/>
        <v>0.67196564094494471</v>
      </c>
      <c r="E54" s="1130"/>
      <c r="F54" s="1130"/>
      <c r="G54" s="1138"/>
    </row>
    <row r="55" spans="1:8">
      <c r="A55" s="1002" t="s">
        <v>81</v>
      </c>
      <c r="B55" s="1142">
        <f t="shared" si="4"/>
        <v>8000477</v>
      </c>
      <c r="C55" s="1104">
        <v>70093</v>
      </c>
      <c r="D55" s="1102">
        <f t="shared" si="5"/>
        <v>0.87611026192563268</v>
      </c>
      <c r="E55" s="1104"/>
      <c r="F55" s="1130"/>
      <c r="G55" s="1143"/>
      <c r="H55" s="1135"/>
    </row>
    <row r="56" spans="1:8">
      <c r="A56" s="1002" t="s">
        <v>82</v>
      </c>
      <c r="B56" s="1142">
        <v>7806311</v>
      </c>
      <c r="C56" s="1104">
        <v>71468</v>
      </c>
      <c r="D56" s="1102">
        <v>0.91551566418504204</v>
      </c>
      <c r="E56" s="1104"/>
      <c r="F56" s="1130"/>
      <c r="G56" s="1143"/>
      <c r="H56" s="1135"/>
    </row>
    <row r="57" spans="1:8">
      <c r="A57" s="1005" t="s">
        <v>449</v>
      </c>
      <c r="B57" s="1144">
        <v>8032475</v>
      </c>
      <c r="C57" s="1145">
        <v>68364</v>
      </c>
      <c r="D57" s="1109">
        <f t="shared" si="5"/>
        <v>0.85109508588573257</v>
      </c>
      <c r="E57" s="1104"/>
      <c r="F57" s="1143"/>
      <c r="G57" s="1143"/>
      <c r="H57" s="1135"/>
    </row>
    <row r="58" spans="1:8" ht="8.25" customHeight="1">
      <c r="A58" s="1010"/>
      <c r="B58" s="1146"/>
      <c r="C58" s="1101"/>
      <c r="D58" s="1143"/>
      <c r="E58" s="1112"/>
      <c r="F58" s="1130"/>
      <c r="G58" s="1138"/>
    </row>
    <row r="59" spans="1:8">
      <c r="A59" s="1147" t="s">
        <v>467</v>
      </c>
      <c r="B59" s="1148"/>
      <c r="C59" s="1148"/>
      <c r="D59" s="1148"/>
      <c r="E59" s="1148"/>
      <c r="F59" s="1149"/>
    </row>
    <row r="60" spans="1:8" ht="12.75" customHeight="1">
      <c r="A60" s="1019" t="s">
        <v>468</v>
      </c>
      <c r="B60" s="1135"/>
      <c r="C60" s="1135"/>
      <c r="D60" s="1135"/>
      <c r="E60" s="1135"/>
    </row>
    <row r="61" spans="1:8" ht="12" customHeight="1">
      <c r="A61" s="1019" t="s">
        <v>469</v>
      </c>
    </row>
    <row r="62" spans="1:8" ht="12.75" customHeight="1">
      <c r="A62" s="1019" t="s">
        <v>470</v>
      </c>
      <c r="B62" s="1135"/>
      <c r="C62" s="1135"/>
      <c r="D62" s="1135"/>
      <c r="E62" s="1135"/>
    </row>
  </sheetData>
  <pageMargins left="0.78740157480314965" right="0.78740157480314965" top="0.98425196850393704" bottom="0.98425196850393704" header="0.51181102362204722" footer="0.51181102362204722"/>
  <pageSetup paperSize="9" scale="82" orientation="portrait" horizontalDpi="300" verticalDpi="300" r:id="rId1"/>
  <headerFooter alignWithMargins="0">
    <oddHeader>&amp;LBundesanstalt für Landwirtschaft
und Ernährung Ref. 423&amp;CStruktur der Mühlenwirtschaft
WJ 2012/13</oddHeader>
    <oddFooter>&amp;L&amp;A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showGridLines="0" zoomScaleNormal="100" workbookViewId="0">
      <selection sqref="A1:G17"/>
    </sheetView>
  </sheetViews>
  <sheetFormatPr baseColWidth="10" defaultRowHeight="12.75"/>
  <cols>
    <col min="1" max="1" width="12.42578125" style="1153" customWidth="1"/>
    <col min="2" max="3" width="11.7109375" style="1153" bestFit="1" customWidth="1"/>
    <col min="4" max="4" width="10" style="1153" bestFit="1" customWidth="1"/>
    <col min="5" max="5" width="9.28515625" style="1153" customWidth="1"/>
    <col min="6" max="6" width="11.42578125" style="1153" customWidth="1"/>
    <col min="7" max="250" width="11.42578125" style="1153"/>
    <col min="251" max="251" width="12.42578125" style="1153" customWidth="1"/>
    <col min="252" max="253" width="11.7109375" style="1153" bestFit="1" customWidth="1"/>
    <col min="254" max="254" width="10" style="1153" bestFit="1" customWidth="1"/>
    <col min="255" max="255" width="9.28515625" style="1153" customWidth="1"/>
    <col min="256" max="256" width="11.42578125" style="1153" customWidth="1"/>
    <col min="257" max="506" width="11.42578125" style="1153"/>
    <col min="507" max="507" width="12.42578125" style="1153" customWidth="1"/>
    <col min="508" max="509" width="11.7109375" style="1153" bestFit="1" customWidth="1"/>
    <col min="510" max="510" width="10" style="1153" bestFit="1" customWidth="1"/>
    <col min="511" max="511" width="9.28515625" style="1153" customWidth="1"/>
    <col min="512" max="512" width="11.42578125" style="1153" customWidth="1"/>
    <col min="513" max="762" width="11.42578125" style="1153"/>
    <col min="763" max="763" width="12.42578125" style="1153" customWidth="1"/>
    <col min="764" max="765" width="11.7109375" style="1153" bestFit="1" customWidth="1"/>
    <col min="766" max="766" width="10" style="1153" bestFit="1" customWidth="1"/>
    <col min="767" max="767" width="9.28515625" style="1153" customWidth="1"/>
    <col min="768" max="768" width="11.42578125" style="1153" customWidth="1"/>
    <col min="769" max="1018" width="11.42578125" style="1153"/>
    <col min="1019" max="1019" width="12.42578125" style="1153" customWidth="1"/>
    <col min="1020" max="1021" width="11.7109375" style="1153" bestFit="1" customWidth="1"/>
    <col min="1022" max="1022" width="10" style="1153" bestFit="1" customWidth="1"/>
    <col min="1023" max="1023" width="9.28515625" style="1153" customWidth="1"/>
    <col min="1024" max="1024" width="11.42578125" style="1153" customWidth="1"/>
    <col min="1025" max="1274" width="11.42578125" style="1153"/>
    <col min="1275" max="1275" width="12.42578125" style="1153" customWidth="1"/>
    <col min="1276" max="1277" width="11.7109375" style="1153" bestFit="1" customWidth="1"/>
    <col min="1278" max="1278" width="10" style="1153" bestFit="1" customWidth="1"/>
    <col min="1279" max="1279" width="9.28515625" style="1153" customWidth="1"/>
    <col min="1280" max="1280" width="11.42578125" style="1153" customWidth="1"/>
    <col min="1281" max="1530" width="11.42578125" style="1153"/>
    <col min="1531" max="1531" width="12.42578125" style="1153" customWidth="1"/>
    <col min="1532" max="1533" width="11.7109375" style="1153" bestFit="1" customWidth="1"/>
    <col min="1534" max="1534" width="10" style="1153" bestFit="1" customWidth="1"/>
    <col min="1535" max="1535" width="9.28515625" style="1153" customWidth="1"/>
    <col min="1536" max="1536" width="11.42578125" style="1153" customWidth="1"/>
    <col min="1537" max="1786" width="11.42578125" style="1153"/>
    <col min="1787" max="1787" width="12.42578125" style="1153" customWidth="1"/>
    <col min="1788" max="1789" width="11.7109375" style="1153" bestFit="1" customWidth="1"/>
    <col min="1790" max="1790" width="10" style="1153" bestFit="1" customWidth="1"/>
    <col min="1791" max="1791" width="9.28515625" style="1153" customWidth="1"/>
    <col min="1792" max="1792" width="11.42578125" style="1153" customWidth="1"/>
    <col min="1793" max="2042" width="11.42578125" style="1153"/>
    <col min="2043" max="2043" width="12.42578125" style="1153" customWidth="1"/>
    <col min="2044" max="2045" width="11.7109375" style="1153" bestFit="1" customWidth="1"/>
    <col min="2046" max="2046" width="10" style="1153" bestFit="1" customWidth="1"/>
    <col min="2047" max="2047" width="9.28515625" style="1153" customWidth="1"/>
    <col min="2048" max="2048" width="11.42578125" style="1153" customWidth="1"/>
    <col min="2049" max="2298" width="11.42578125" style="1153"/>
    <col min="2299" max="2299" width="12.42578125" style="1153" customWidth="1"/>
    <col min="2300" max="2301" width="11.7109375" style="1153" bestFit="1" customWidth="1"/>
    <col min="2302" max="2302" width="10" style="1153" bestFit="1" customWidth="1"/>
    <col min="2303" max="2303" width="9.28515625" style="1153" customWidth="1"/>
    <col min="2304" max="2304" width="11.42578125" style="1153" customWidth="1"/>
    <col min="2305" max="2554" width="11.42578125" style="1153"/>
    <col min="2555" max="2555" width="12.42578125" style="1153" customWidth="1"/>
    <col min="2556" max="2557" width="11.7109375" style="1153" bestFit="1" customWidth="1"/>
    <col min="2558" max="2558" width="10" style="1153" bestFit="1" customWidth="1"/>
    <col min="2559" max="2559" width="9.28515625" style="1153" customWidth="1"/>
    <col min="2560" max="2560" width="11.42578125" style="1153" customWidth="1"/>
    <col min="2561" max="2810" width="11.42578125" style="1153"/>
    <col min="2811" max="2811" width="12.42578125" style="1153" customWidth="1"/>
    <col min="2812" max="2813" width="11.7109375" style="1153" bestFit="1" customWidth="1"/>
    <col min="2814" max="2814" width="10" style="1153" bestFit="1" customWidth="1"/>
    <col min="2815" max="2815" width="9.28515625" style="1153" customWidth="1"/>
    <col min="2816" max="2816" width="11.42578125" style="1153" customWidth="1"/>
    <col min="2817" max="3066" width="11.42578125" style="1153"/>
    <col min="3067" max="3067" width="12.42578125" style="1153" customWidth="1"/>
    <col min="3068" max="3069" width="11.7109375" style="1153" bestFit="1" customWidth="1"/>
    <col min="3070" max="3070" width="10" style="1153" bestFit="1" customWidth="1"/>
    <col min="3071" max="3071" width="9.28515625" style="1153" customWidth="1"/>
    <col min="3072" max="3072" width="11.42578125" style="1153" customWidth="1"/>
    <col min="3073" max="3322" width="11.42578125" style="1153"/>
    <col min="3323" max="3323" width="12.42578125" style="1153" customWidth="1"/>
    <col min="3324" max="3325" width="11.7109375" style="1153" bestFit="1" customWidth="1"/>
    <col min="3326" max="3326" width="10" style="1153" bestFit="1" customWidth="1"/>
    <col min="3327" max="3327" width="9.28515625" style="1153" customWidth="1"/>
    <col min="3328" max="3328" width="11.42578125" style="1153" customWidth="1"/>
    <col min="3329" max="3578" width="11.42578125" style="1153"/>
    <col min="3579" max="3579" width="12.42578125" style="1153" customWidth="1"/>
    <col min="3580" max="3581" width="11.7109375" style="1153" bestFit="1" customWidth="1"/>
    <col min="3582" max="3582" width="10" style="1153" bestFit="1" customWidth="1"/>
    <col min="3583" max="3583" width="9.28515625" style="1153" customWidth="1"/>
    <col min="3584" max="3584" width="11.42578125" style="1153" customWidth="1"/>
    <col min="3585" max="3834" width="11.42578125" style="1153"/>
    <col min="3835" max="3835" width="12.42578125" style="1153" customWidth="1"/>
    <col min="3836" max="3837" width="11.7109375" style="1153" bestFit="1" customWidth="1"/>
    <col min="3838" max="3838" width="10" style="1153" bestFit="1" customWidth="1"/>
    <col min="3839" max="3839" width="9.28515625" style="1153" customWidth="1"/>
    <col min="3840" max="3840" width="11.42578125" style="1153" customWidth="1"/>
    <col min="3841" max="4090" width="11.42578125" style="1153"/>
    <col min="4091" max="4091" width="12.42578125" style="1153" customWidth="1"/>
    <col min="4092" max="4093" width="11.7109375" style="1153" bestFit="1" customWidth="1"/>
    <col min="4094" max="4094" width="10" style="1153" bestFit="1" customWidth="1"/>
    <col min="4095" max="4095" width="9.28515625" style="1153" customWidth="1"/>
    <col min="4096" max="4096" width="11.42578125" style="1153" customWidth="1"/>
    <col min="4097" max="4346" width="11.42578125" style="1153"/>
    <col min="4347" max="4347" width="12.42578125" style="1153" customWidth="1"/>
    <col min="4348" max="4349" width="11.7109375" style="1153" bestFit="1" customWidth="1"/>
    <col min="4350" max="4350" width="10" style="1153" bestFit="1" customWidth="1"/>
    <col min="4351" max="4351" width="9.28515625" style="1153" customWidth="1"/>
    <col min="4352" max="4352" width="11.42578125" style="1153" customWidth="1"/>
    <col min="4353" max="4602" width="11.42578125" style="1153"/>
    <col min="4603" max="4603" width="12.42578125" style="1153" customWidth="1"/>
    <col min="4604" max="4605" width="11.7109375" style="1153" bestFit="1" customWidth="1"/>
    <col min="4606" max="4606" width="10" style="1153" bestFit="1" customWidth="1"/>
    <col min="4607" max="4607" width="9.28515625" style="1153" customWidth="1"/>
    <col min="4608" max="4608" width="11.42578125" style="1153" customWidth="1"/>
    <col min="4609" max="4858" width="11.42578125" style="1153"/>
    <col min="4859" max="4859" width="12.42578125" style="1153" customWidth="1"/>
    <col min="4860" max="4861" width="11.7109375" style="1153" bestFit="1" customWidth="1"/>
    <col min="4862" max="4862" width="10" style="1153" bestFit="1" customWidth="1"/>
    <col min="4863" max="4863" width="9.28515625" style="1153" customWidth="1"/>
    <col min="4864" max="4864" width="11.42578125" style="1153" customWidth="1"/>
    <col min="4865" max="5114" width="11.42578125" style="1153"/>
    <col min="5115" max="5115" width="12.42578125" style="1153" customWidth="1"/>
    <col min="5116" max="5117" width="11.7109375" style="1153" bestFit="1" customWidth="1"/>
    <col min="5118" max="5118" width="10" style="1153" bestFit="1" customWidth="1"/>
    <col min="5119" max="5119" width="9.28515625" style="1153" customWidth="1"/>
    <col min="5120" max="5120" width="11.42578125" style="1153" customWidth="1"/>
    <col min="5121" max="5370" width="11.42578125" style="1153"/>
    <col min="5371" max="5371" width="12.42578125" style="1153" customWidth="1"/>
    <col min="5372" max="5373" width="11.7109375" style="1153" bestFit="1" customWidth="1"/>
    <col min="5374" max="5374" width="10" style="1153" bestFit="1" customWidth="1"/>
    <col min="5375" max="5375" width="9.28515625" style="1153" customWidth="1"/>
    <col min="5376" max="5376" width="11.42578125" style="1153" customWidth="1"/>
    <col min="5377" max="5626" width="11.42578125" style="1153"/>
    <col min="5627" max="5627" width="12.42578125" style="1153" customWidth="1"/>
    <col min="5628" max="5629" width="11.7109375" style="1153" bestFit="1" customWidth="1"/>
    <col min="5630" max="5630" width="10" style="1153" bestFit="1" customWidth="1"/>
    <col min="5631" max="5631" width="9.28515625" style="1153" customWidth="1"/>
    <col min="5632" max="5632" width="11.42578125" style="1153" customWidth="1"/>
    <col min="5633" max="5882" width="11.42578125" style="1153"/>
    <col min="5883" max="5883" width="12.42578125" style="1153" customWidth="1"/>
    <col min="5884" max="5885" width="11.7109375" style="1153" bestFit="1" customWidth="1"/>
    <col min="5886" max="5886" width="10" style="1153" bestFit="1" customWidth="1"/>
    <col min="5887" max="5887" width="9.28515625" style="1153" customWidth="1"/>
    <col min="5888" max="5888" width="11.42578125" style="1153" customWidth="1"/>
    <col min="5889" max="6138" width="11.42578125" style="1153"/>
    <col min="6139" max="6139" width="12.42578125" style="1153" customWidth="1"/>
    <col min="6140" max="6141" width="11.7109375" style="1153" bestFit="1" customWidth="1"/>
    <col min="6142" max="6142" width="10" style="1153" bestFit="1" customWidth="1"/>
    <col min="6143" max="6143" width="9.28515625" style="1153" customWidth="1"/>
    <col min="6144" max="6144" width="11.42578125" style="1153" customWidth="1"/>
    <col min="6145" max="6394" width="11.42578125" style="1153"/>
    <col min="6395" max="6395" width="12.42578125" style="1153" customWidth="1"/>
    <col min="6396" max="6397" width="11.7109375" style="1153" bestFit="1" customWidth="1"/>
    <col min="6398" max="6398" width="10" style="1153" bestFit="1" customWidth="1"/>
    <col min="6399" max="6399" width="9.28515625" style="1153" customWidth="1"/>
    <col min="6400" max="6400" width="11.42578125" style="1153" customWidth="1"/>
    <col min="6401" max="6650" width="11.42578125" style="1153"/>
    <col min="6651" max="6651" width="12.42578125" style="1153" customWidth="1"/>
    <col min="6652" max="6653" width="11.7109375" style="1153" bestFit="1" customWidth="1"/>
    <col min="6654" max="6654" width="10" style="1153" bestFit="1" customWidth="1"/>
    <col min="6655" max="6655" width="9.28515625" style="1153" customWidth="1"/>
    <col min="6656" max="6656" width="11.42578125" style="1153" customWidth="1"/>
    <col min="6657" max="6906" width="11.42578125" style="1153"/>
    <col min="6907" max="6907" width="12.42578125" style="1153" customWidth="1"/>
    <col min="6908" max="6909" width="11.7109375" style="1153" bestFit="1" customWidth="1"/>
    <col min="6910" max="6910" width="10" style="1153" bestFit="1" customWidth="1"/>
    <col min="6911" max="6911" width="9.28515625" style="1153" customWidth="1"/>
    <col min="6912" max="6912" width="11.42578125" style="1153" customWidth="1"/>
    <col min="6913" max="7162" width="11.42578125" style="1153"/>
    <col min="7163" max="7163" width="12.42578125" style="1153" customWidth="1"/>
    <col min="7164" max="7165" width="11.7109375" style="1153" bestFit="1" customWidth="1"/>
    <col min="7166" max="7166" width="10" style="1153" bestFit="1" customWidth="1"/>
    <col min="7167" max="7167" width="9.28515625" style="1153" customWidth="1"/>
    <col min="7168" max="7168" width="11.42578125" style="1153" customWidth="1"/>
    <col min="7169" max="7418" width="11.42578125" style="1153"/>
    <col min="7419" max="7419" width="12.42578125" style="1153" customWidth="1"/>
    <col min="7420" max="7421" width="11.7109375" style="1153" bestFit="1" customWidth="1"/>
    <col min="7422" max="7422" width="10" style="1153" bestFit="1" customWidth="1"/>
    <col min="7423" max="7423" width="9.28515625" style="1153" customWidth="1"/>
    <col min="7424" max="7424" width="11.42578125" style="1153" customWidth="1"/>
    <col min="7425" max="7674" width="11.42578125" style="1153"/>
    <col min="7675" max="7675" width="12.42578125" style="1153" customWidth="1"/>
    <col min="7676" max="7677" width="11.7109375" style="1153" bestFit="1" customWidth="1"/>
    <col min="7678" max="7678" width="10" style="1153" bestFit="1" customWidth="1"/>
    <col min="7679" max="7679" width="9.28515625" style="1153" customWidth="1"/>
    <col min="7680" max="7680" width="11.42578125" style="1153" customWidth="1"/>
    <col min="7681" max="7930" width="11.42578125" style="1153"/>
    <col min="7931" max="7931" width="12.42578125" style="1153" customWidth="1"/>
    <col min="7932" max="7933" width="11.7109375" style="1153" bestFit="1" customWidth="1"/>
    <col min="7934" max="7934" width="10" style="1153" bestFit="1" customWidth="1"/>
    <col min="7935" max="7935" width="9.28515625" style="1153" customWidth="1"/>
    <col min="7936" max="7936" width="11.42578125" style="1153" customWidth="1"/>
    <col min="7937" max="8186" width="11.42578125" style="1153"/>
    <col min="8187" max="8187" width="12.42578125" style="1153" customWidth="1"/>
    <col min="8188" max="8189" width="11.7109375" style="1153" bestFit="1" customWidth="1"/>
    <col min="8190" max="8190" width="10" style="1153" bestFit="1" customWidth="1"/>
    <col min="8191" max="8191" width="9.28515625" style="1153" customWidth="1"/>
    <col min="8192" max="8192" width="11.42578125" style="1153" customWidth="1"/>
    <col min="8193" max="8442" width="11.42578125" style="1153"/>
    <col min="8443" max="8443" width="12.42578125" style="1153" customWidth="1"/>
    <col min="8444" max="8445" width="11.7109375" style="1153" bestFit="1" customWidth="1"/>
    <col min="8446" max="8446" width="10" style="1153" bestFit="1" customWidth="1"/>
    <col min="8447" max="8447" width="9.28515625" style="1153" customWidth="1"/>
    <col min="8448" max="8448" width="11.42578125" style="1153" customWidth="1"/>
    <col min="8449" max="8698" width="11.42578125" style="1153"/>
    <col min="8699" max="8699" width="12.42578125" style="1153" customWidth="1"/>
    <col min="8700" max="8701" width="11.7109375" style="1153" bestFit="1" customWidth="1"/>
    <col min="8702" max="8702" width="10" style="1153" bestFit="1" customWidth="1"/>
    <col min="8703" max="8703" width="9.28515625" style="1153" customWidth="1"/>
    <col min="8704" max="8704" width="11.42578125" style="1153" customWidth="1"/>
    <col min="8705" max="8954" width="11.42578125" style="1153"/>
    <col min="8955" max="8955" width="12.42578125" style="1153" customWidth="1"/>
    <col min="8956" max="8957" width="11.7109375" style="1153" bestFit="1" customWidth="1"/>
    <col min="8958" max="8958" width="10" style="1153" bestFit="1" customWidth="1"/>
    <col min="8959" max="8959" width="9.28515625" style="1153" customWidth="1"/>
    <col min="8960" max="8960" width="11.42578125" style="1153" customWidth="1"/>
    <col min="8961" max="9210" width="11.42578125" style="1153"/>
    <col min="9211" max="9211" width="12.42578125" style="1153" customWidth="1"/>
    <col min="9212" max="9213" width="11.7109375" style="1153" bestFit="1" customWidth="1"/>
    <col min="9214" max="9214" width="10" style="1153" bestFit="1" customWidth="1"/>
    <col min="9215" max="9215" width="9.28515625" style="1153" customWidth="1"/>
    <col min="9216" max="9216" width="11.42578125" style="1153" customWidth="1"/>
    <col min="9217" max="9466" width="11.42578125" style="1153"/>
    <col min="9467" max="9467" width="12.42578125" style="1153" customWidth="1"/>
    <col min="9468" max="9469" width="11.7109375" style="1153" bestFit="1" customWidth="1"/>
    <col min="9470" max="9470" width="10" style="1153" bestFit="1" customWidth="1"/>
    <col min="9471" max="9471" width="9.28515625" style="1153" customWidth="1"/>
    <col min="9472" max="9472" width="11.42578125" style="1153" customWidth="1"/>
    <col min="9473" max="9722" width="11.42578125" style="1153"/>
    <col min="9723" max="9723" width="12.42578125" style="1153" customWidth="1"/>
    <col min="9724" max="9725" width="11.7109375" style="1153" bestFit="1" customWidth="1"/>
    <col min="9726" max="9726" width="10" style="1153" bestFit="1" customWidth="1"/>
    <col min="9727" max="9727" width="9.28515625" style="1153" customWidth="1"/>
    <col min="9728" max="9728" width="11.42578125" style="1153" customWidth="1"/>
    <col min="9729" max="9978" width="11.42578125" style="1153"/>
    <col min="9979" max="9979" width="12.42578125" style="1153" customWidth="1"/>
    <col min="9980" max="9981" width="11.7109375" style="1153" bestFit="1" customWidth="1"/>
    <col min="9982" max="9982" width="10" style="1153" bestFit="1" customWidth="1"/>
    <col min="9983" max="9983" width="9.28515625" style="1153" customWidth="1"/>
    <col min="9984" max="9984" width="11.42578125" style="1153" customWidth="1"/>
    <col min="9985" max="10234" width="11.42578125" style="1153"/>
    <col min="10235" max="10235" width="12.42578125" style="1153" customWidth="1"/>
    <col min="10236" max="10237" width="11.7109375" style="1153" bestFit="1" customWidth="1"/>
    <col min="10238" max="10238" width="10" style="1153" bestFit="1" customWidth="1"/>
    <col min="10239" max="10239" width="9.28515625" style="1153" customWidth="1"/>
    <col min="10240" max="10240" width="11.42578125" style="1153" customWidth="1"/>
    <col min="10241" max="10490" width="11.42578125" style="1153"/>
    <col min="10491" max="10491" width="12.42578125" style="1153" customWidth="1"/>
    <col min="10492" max="10493" width="11.7109375" style="1153" bestFit="1" customWidth="1"/>
    <col min="10494" max="10494" width="10" style="1153" bestFit="1" customWidth="1"/>
    <col min="10495" max="10495" width="9.28515625" style="1153" customWidth="1"/>
    <col min="10496" max="10496" width="11.42578125" style="1153" customWidth="1"/>
    <col min="10497" max="10746" width="11.42578125" style="1153"/>
    <col min="10747" max="10747" width="12.42578125" style="1153" customWidth="1"/>
    <col min="10748" max="10749" width="11.7109375" style="1153" bestFit="1" customWidth="1"/>
    <col min="10750" max="10750" width="10" style="1153" bestFit="1" customWidth="1"/>
    <col min="10751" max="10751" width="9.28515625" style="1153" customWidth="1"/>
    <col min="10752" max="10752" width="11.42578125" style="1153" customWidth="1"/>
    <col min="10753" max="11002" width="11.42578125" style="1153"/>
    <col min="11003" max="11003" width="12.42578125" style="1153" customWidth="1"/>
    <col min="11004" max="11005" width="11.7109375" style="1153" bestFit="1" customWidth="1"/>
    <col min="11006" max="11006" width="10" style="1153" bestFit="1" customWidth="1"/>
    <col min="11007" max="11007" width="9.28515625" style="1153" customWidth="1"/>
    <col min="11008" max="11008" width="11.42578125" style="1153" customWidth="1"/>
    <col min="11009" max="11258" width="11.42578125" style="1153"/>
    <col min="11259" max="11259" width="12.42578125" style="1153" customWidth="1"/>
    <col min="11260" max="11261" width="11.7109375" style="1153" bestFit="1" customWidth="1"/>
    <col min="11262" max="11262" width="10" style="1153" bestFit="1" customWidth="1"/>
    <col min="11263" max="11263" width="9.28515625" style="1153" customWidth="1"/>
    <col min="11264" max="11264" width="11.42578125" style="1153" customWidth="1"/>
    <col min="11265" max="11514" width="11.42578125" style="1153"/>
    <col min="11515" max="11515" width="12.42578125" style="1153" customWidth="1"/>
    <col min="11516" max="11517" width="11.7109375" style="1153" bestFit="1" customWidth="1"/>
    <col min="11518" max="11518" width="10" style="1153" bestFit="1" customWidth="1"/>
    <col min="11519" max="11519" width="9.28515625" style="1153" customWidth="1"/>
    <col min="11520" max="11520" width="11.42578125" style="1153" customWidth="1"/>
    <col min="11521" max="11770" width="11.42578125" style="1153"/>
    <col min="11771" max="11771" width="12.42578125" style="1153" customWidth="1"/>
    <col min="11772" max="11773" width="11.7109375" style="1153" bestFit="1" customWidth="1"/>
    <col min="11774" max="11774" width="10" style="1153" bestFit="1" customWidth="1"/>
    <col min="11775" max="11775" width="9.28515625" style="1153" customWidth="1"/>
    <col min="11776" max="11776" width="11.42578125" style="1153" customWidth="1"/>
    <col min="11777" max="12026" width="11.42578125" style="1153"/>
    <col min="12027" max="12027" width="12.42578125" style="1153" customWidth="1"/>
    <col min="12028" max="12029" width="11.7109375" style="1153" bestFit="1" customWidth="1"/>
    <col min="12030" max="12030" width="10" style="1153" bestFit="1" customWidth="1"/>
    <col min="12031" max="12031" width="9.28515625" style="1153" customWidth="1"/>
    <col min="12032" max="12032" width="11.42578125" style="1153" customWidth="1"/>
    <col min="12033" max="12282" width="11.42578125" style="1153"/>
    <col min="12283" max="12283" width="12.42578125" style="1153" customWidth="1"/>
    <col min="12284" max="12285" width="11.7109375" style="1153" bestFit="1" customWidth="1"/>
    <col min="12286" max="12286" width="10" style="1153" bestFit="1" customWidth="1"/>
    <col min="12287" max="12287" width="9.28515625" style="1153" customWidth="1"/>
    <col min="12288" max="12288" width="11.42578125" style="1153" customWidth="1"/>
    <col min="12289" max="12538" width="11.42578125" style="1153"/>
    <col min="12539" max="12539" width="12.42578125" style="1153" customWidth="1"/>
    <col min="12540" max="12541" width="11.7109375" style="1153" bestFit="1" customWidth="1"/>
    <col min="12542" max="12542" width="10" style="1153" bestFit="1" customWidth="1"/>
    <col min="12543" max="12543" width="9.28515625" style="1153" customWidth="1"/>
    <col min="12544" max="12544" width="11.42578125" style="1153" customWidth="1"/>
    <col min="12545" max="12794" width="11.42578125" style="1153"/>
    <col min="12795" max="12795" width="12.42578125" style="1153" customWidth="1"/>
    <col min="12796" max="12797" width="11.7109375" style="1153" bestFit="1" customWidth="1"/>
    <col min="12798" max="12798" width="10" style="1153" bestFit="1" customWidth="1"/>
    <col min="12799" max="12799" width="9.28515625" style="1153" customWidth="1"/>
    <col min="12800" max="12800" width="11.42578125" style="1153" customWidth="1"/>
    <col min="12801" max="13050" width="11.42578125" style="1153"/>
    <col min="13051" max="13051" width="12.42578125" style="1153" customWidth="1"/>
    <col min="13052" max="13053" width="11.7109375" style="1153" bestFit="1" customWidth="1"/>
    <col min="13054" max="13054" width="10" style="1153" bestFit="1" customWidth="1"/>
    <col min="13055" max="13055" width="9.28515625" style="1153" customWidth="1"/>
    <col min="13056" max="13056" width="11.42578125" style="1153" customWidth="1"/>
    <col min="13057" max="13306" width="11.42578125" style="1153"/>
    <col min="13307" max="13307" width="12.42578125" style="1153" customWidth="1"/>
    <col min="13308" max="13309" width="11.7109375" style="1153" bestFit="1" customWidth="1"/>
    <col min="13310" max="13310" width="10" style="1153" bestFit="1" customWidth="1"/>
    <col min="13311" max="13311" width="9.28515625" style="1153" customWidth="1"/>
    <col min="13312" max="13312" width="11.42578125" style="1153" customWidth="1"/>
    <col min="13313" max="13562" width="11.42578125" style="1153"/>
    <col min="13563" max="13563" width="12.42578125" style="1153" customWidth="1"/>
    <col min="13564" max="13565" width="11.7109375" style="1153" bestFit="1" customWidth="1"/>
    <col min="13566" max="13566" width="10" style="1153" bestFit="1" customWidth="1"/>
    <col min="13567" max="13567" width="9.28515625" style="1153" customWidth="1"/>
    <col min="13568" max="13568" width="11.42578125" style="1153" customWidth="1"/>
    <col min="13569" max="13818" width="11.42578125" style="1153"/>
    <col min="13819" max="13819" width="12.42578125" style="1153" customWidth="1"/>
    <col min="13820" max="13821" width="11.7109375" style="1153" bestFit="1" customWidth="1"/>
    <col min="13822" max="13822" width="10" style="1153" bestFit="1" customWidth="1"/>
    <col min="13823" max="13823" width="9.28515625" style="1153" customWidth="1"/>
    <col min="13824" max="13824" width="11.42578125" style="1153" customWidth="1"/>
    <col min="13825" max="14074" width="11.42578125" style="1153"/>
    <col min="14075" max="14075" width="12.42578125" style="1153" customWidth="1"/>
    <col min="14076" max="14077" width="11.7109375" style="1153" bestFit="1" customWidth="1"/>
    <col min="14078" max="14078" width="10" style="1153" bestFit="1" customWidth="1"/>
    <col min="14079" max="14079" width="9.28515625" style="1153" customWidth="1"/>
    <col min="14080" max="14080" width="11.42578125" style="1153" customWidth="1"/>
    <col min="14081" max="14330" width="11.42578125" style="1153"/>
    <col min="14331" max="14331" width="12.42578125" style="1153" customWidth="1"/>
    <col min="14332" max="14333" width="11.7109375" style="1153" bestFit="1" customWidth="1"/>
    <col min="14334" max="14334" width="10" style="1153" bestFit="1" customWidth="1"/>
    <col min="14335" max="14335" width="9.28515625" style="1153" customWidth="1"/>
    <col min="14336" max="14336" width="11.42578125" style="1153" customWidth="1"/>
    <col min="14337" max="14586" width="11.42578125" style="1153"/>
    <col min="14587" max="14587" width="12.42578125" style="1153" customWidth="1"/>
    <col min="14588" max="14589" width="11.7109375" style="1153" bestFit="1" customWidth="1"/>
    <col min="14590" max="14590" width="10" style="1153" bestFit="1" customWidth="1"/>
    <col min="14591" max="14591" width="9.28515625" style="1153" customWidth="1"/>
    <col min="14592" max="14592" width="11.42578125" style="1153" customWidth="1"/>
    <col min="14593" max="14842" width="11.42578125" style="1153"/>
    <col min="14843" max="14843" width="12.42578125" style="1153" customWidth="1"/>
    <col min="14844" max="14845" width="11.7109375" style="1153" bestFit="1" customWidth="1"/>
    <col min="14846" max="14846" width="10" style="1153" bestFit="1" customWidth="1"/>
    <col min="14847" max="14847" width="9.28515625" style="1153" customWidth="1"/>
    <col min="14848" max="14848" width="11.42578125" style="1153" customWidth="1"/>
    <col min="14849" max="15098" width="11.42578125" style="1153"/>
    <col min="15099" max="15099" width="12.42578125" style="1153" customWidth="1"/>
    <col min="15100" max="15101" width="11.7109375" style="1153" bestFit="1" customWidth="1"/>
    <col min="15102" max="15102" width="10" style="1153" bestFit="1" customWidth="1"/>
    <col min="15103" max="15103" width="9.28515625" style="1153" customWidth="1"/>
    <col min="15104" max="15104" width="11.42578125" style="1153" customWidth="1"/>
    <col min="15105" max="15354" width="11.42578125" style="1153"/>
    <col min="15355" max="15355" width="12.42578125" style="1153" customWidth="1"/>
    <col min="15356" max="15357" width="11.7109375" style="1153" bestFit="1" customWidth="1"/>
    <col min="15358" max="15358" width="10" style="1153" bestFit="1" customWidth="1"/>
    <col min="15359" max="15359" width="9.28515625" style="1153" customWidth="1"/>
    <col min="15360" max="15360" width="11.42578125" style="1153" customWidth="1"/>
    <col min="15361" max="15610" width="11.42578125" style="1153"/>
    <col min="15611" max="15611" width="12.42578125" style="1153" customWidth="1"/>
    <col min="15612" max="15613" width="11.7109375" style="1153" bestFit="1" customWidth="1"/>
    <col min="15614" max="15614" width="10" style="1153" bestFit="1" customWidth="1"/>
    <col min="15615" max="15615" width="9.28515625" style="1153" customWidth="1"/>
    <col min="15616" max="15616" width="11.42578125" style="1153" customWidth="1"/>
    <col min="15617" max="15866" width="11.42578125" style="1153"/>
    <col min="15867" max="15867" width="12.42578125" style="1153" customWidth="1"/>
    <col min="15868" max="15869" width="11.7109375" style="1153" bestFit="1" customWidth="1"/>
    <col min="15870" max="15870" width="10" style="1153" bestFit="1" customWidth="1"/>
    <col min="15871" max="15871" width="9.28515625" style="1153" customWidth="1"/>
    <col min="15872" max="15872" width="11.42578125" style="1153" customWidth="1"/>
    <col min="15873" max="16122" width="11.42578125" style="1153"/>
    <col min="16123" max="16123" width="12.42578125" style="1153" customWidth="1"/>
    <col min="16124" max="16125" width="11.7109375" style="1153" bestFit="1" customWidth="1"/>
    <col min="16126" max="16126" width="10" style="1153" bestFit="1" customWidth="1"/>
    <col min="16127" max="16127" width="9.28515625" style="1153" customWidth="1"/>
    <col min="16128" max="16128" width="11.42578125" style="1153" customWidth="1"/>
    <col min="16129" max="16384" width="11.42578125" style="1153"/>
  </cols>
  <sheetData>
    <row r="1" spans="1:6" ht="15.75">
      <c r="A1" s="1150" t="s">
        <v>487</v>
      </c>
      <c r="B1" s="1151"/>
      <c r="C1" s="1151"/>
      <c r="D1" s="1151"/>
      <c r="E1" s="1151"/>
      <c r="F1" s="1152"/>
    </row>
    <row r="2" spans="1:6" ht="5.25" customHeight="1"/>
    <row r="3" spans="1:6">
      <c r="B3" s="1154" t="s">
        <v>471</v>
      </c>
      <c r="C3" s="1154"/>
      <c r="D3" s="1154"/>
      <c r="E3" s="1154"/>
      <c r="F3" s="1155"/>
    </row>
    <row r="4" spans="1:6" ht="6" customHeight="1">
      <c r="A4" s="1156"/>
      <c r="B4" s="1156"/>
      <c r="C4" s="1156"/>
      <c r="D4" s="1156"/>
      <c r="E4" s="1156"/>
      <c r="F4" s="1157"/>
    </row>
    <row r="5" spans="1:6" ht="22.5">
      <c r="A5" s="1158" t="s">
        <v>472</v>
      </c>
      <c r="B5" s="1159" t="s">
        <v>87</v>
      </c>
      <c r="C5" s="1159" t="s">
        <v>88</v>
      </c>
      <c r="D5" s="1159" t="s">
        <v>89</v>
      </c>
      <c r="E5" s="1160" t="s">
        <v>90</v>
      </c>
      <c r="F5" s="1161" t="s">
        <v>473</v>
      </c>
    </row>
    <row r="6" spans="1:6">
      <c r="A6" s="1162" t="s">
        <v>474</v>
      </c>
      <c r="B6" s="1163"/>
      <c r="C6" s="1163"/>
      <c r="D6" s="1163"/>
      <c r="E6" s="1164"/>
      <c r="F6" s="1165"/>
    </row>
    <row r="7" spans="1:6" hidden="1">
      <c r="A7" s="1166" t="s">
        <v>184</v>
      </c>
      <c r="B7" s="1167"/>
      <c r="C7" s="1167"/>
      <c r="D7" s="1167"/>
      <c r="E7" s="1168"/>
      <c r="F7" s="1169">
        <v>585971</v>
      </c>
    </row>
    <row r="8" spans="1:6" hidden="1">
      <c r="A8" s="1166" t="s">
        <v>185</v>
      </c>
      <c r="B8" s="1167"/>
      <c r="C8" s="1167"/>
      <c r="D8" s="1167"/>
      <c r="E8" s="1168"/>
      <c r="F8" s="1169">
        <v>640140</v>
      </c>
    </row>
    <row r="9" spans="1:6" hidden="1">
      <c r="A9" s="1166" t="s">
        <v>186</v>
      </c>
      <c r="B9" s="1167"/>
      <c r="C9" s="1167"/>
      <c r="D9" s="1167"/>
      <c r="E9" s="1168"/>
      <c r="F9" s="1169">
        <v>660105</v>
      </c>
    </row>
    <row r="10" spans="1:6" hidden="1">
      <c r="A10" s="1166" t="s">
        <v>189</v>
      </c>
      <c r="B10" s="1167"/>
      <c r="C10" s="1167"/>
      <c r="D10" s="1167"/>
      <c r="E10" s="1168"/>
      <c r="F10" s="1169">
        <v>639326</v>
      </c>
    </row>
    <row r="11" spans="1:6" hidden="1">
      <c r="A11" s="1166" t="s">
        <v>191</v>
      </c>
      <c r="B11" s="1167"/>
      <c r="C11" s="1167"/>
      <c r="D11" s="1167"/>
      <c r="E11" s="1168"/>
      <c r="F11" s="1169">
        <v>646346</v>
      </c>
    </row>
    <row r="12" spans="1:6" hidden="1">
      <c r="A12" s="1166" t="s">
        <v>194</v>
      </c>
      <c r="B12" s="1167"/>
      <c r="C12" s="1167"/>
      <c r="D12" s="1167"/>
      <c r="E12" s="1168"/>
      <c r="F12" s="1169">
        <v>668165</v>
      </c>
    </row>
    <row r="13" spans="1:6" hidden="1">
      <c r="A13" s="1166" t="s">
        <v>196</v>
      </c>
      <c r="B13" s="1167"/>
      <c r="C13" s="1167"/>
      <c r="D13" s="1167"/>
      <c r="E13" s="1168"/>
      <c r="F13" s="1169">
        <v>655920</v>
      </c>
    </row>
    <row r="14" spans="1:6" hidden="1">
      <c r="A14" s="1166" t="s">
        <v>197</v>
      </c>
      <c r="B14" s="1167"/>
      <c r="C14" s="1167"/>
      <c r="D14" s="1167"/>
      <c r="E14" s="1168"/>
      <c r="F14" s="1169">
        <v>642398</v>
      </c>
    </row>
    <row r="15" spans="1:6" hidden="1">
      <c r="A15" s="1166" t="s">
        <v>198</v>
      </c>
      <c r="B15" s="1170">
        <v>137681</v>
      </c>
      <c r="C15" s="1170">
        <v>156154</v>
      </c>
      <c r="D15" s="1170">
        <v>216166</v>
      </c>
      <c r="E15" s="1171">
        <v>108646</v>
      </c>
      <c r="F15" s="1172">
        <v>618647</v>
      </c>
    </row>
    <row r="16" spans="1:6" hidden="1">
      <c r="A16" s="1173" t="s">
        <v>199</v>
      </c>
      <c r="B16" s="1170">
        <v>128484</v>
      </c>
      <c r="C16" s="1170">
        <v>165007</v>
      </c>
      <c r="D16" s="1170">
        <v>198048</v>
      </c>
      <c r="E16" s="1171">
        <v>99424</v>
      </c>
      <c r="F16" s="1172">
        <v>590963</v>
      </c>
    </row>
    <row r="17" spans="1:6">
      <c r="A17" s="1173" t="s">
        <v>200</v>
      </c>
      <c r="B17" s="1170">
        <v>133870</v>
      </c>
      <c r="C17" s="1170">
        <v>150708</v>
      </c>
      <c r="D17" s="1170">
        <v>190974</v>
      </c>
      <c r="E17" s="1171">
        <v>90129</v>
      </c>
      <c r="F17" s="1172">
        <v>565681</v>
      </c>
    </row>
    <row r="18" spans="1:6" ht="0.75" customHeight="1">
      <c r="A18" s="1173" t="s">
        <v>201</v>
      </c>
      <c r="B18" s="1170">
        <v>131372</v>
      </c>
      <c r="C18" s="1170">
        <v>150039</v>
      </c>
      <c r="D18" s="1170">
        <v>212119</v>
      </c>
      <c r="E18" s="1171">
        <v>97178</v>
      </c>
      <c r="F18" s="1172">
        <v>590708</v>
      </c>
    </row>
    <row r="19" spans="1:6" hidden="1">
      <c r="A19" s="1173" t="s">
        <v>202</v>
      </c>
      <c r="B19" s="1170">
        <v>128753</v>
      </c>
      <c r="C19" s="1170">
        <v>140406</v>
      </c>
      <c r="D19" s="1170">
        <v>211611</v>
      </c>
      <c r="E19" s="1171">
        <v>106534</v>
      </c>
      <c r="F19" s="1172">
        <v>587304</v>
      </c>
    </row>
    <row r="20" spans="1:6" hidden="1">
      <c r="A20" s="1173" t="s">
        <v>203</v>
      </c>
      <c r="B20" s="1170">
        <v>136010</v>
      </c>
      <c r="C20" s="1170">
        <v>157051</v>
      </c>
      <c r="D20" s="1170">
        <v>216729</v>
      </c>
      <c r="E20" s="1171">
        <v>93014</v>
      </c>
      <c r="F20" s="1172">
        <v>602804</v>
      </c>
    </row>
    <row r="21" spans="1:6" hidden="1">
      <c r="A21" s="1173" t="s">
        <v>204</v>
      </c>
      <c r="B21" s="1170">
        <v>158715</v>
      </c>
      <c r="C21" s="1170">
        <v>114669</v>
      </c>
      <c r="D21" s="1170">
        <v>224324</v>
      </c>
      <c r="E21" s="1171">
        <v>75260</v>
      </c>
      <c r="F21" s="1172">
        <v>572968</v>
      </c>
    </row>
    <row r="22" spans="1:6" hidden="1">
      <c r="A22" s="1173" t="s">
        <v>205</v>
      </c>
      <c r="B22" s="1170">
        <v>133247</v>
      </c>
      <c r="C22" s="1170">
        <v>93442</v>
      </c>
      <c r="D22" s="1170">
        <v>229080</v>
      </c>
      <c r="E22" s="1171">
        <v>99949</v>
      </c>
      <c r="F22" s="1172">
        <v>555718</v>
      </c>
    </row>
    <row r="23" spans="1:6" hidden="1">
      <c r="A23" s="1173" t="s">
        <v>206</v>
      </c>
      <c r="B23" s="1170">
        <v>138320</v>
      </c>
      <c r="C23" s="1170">
        <v>78123</v>
      </c>
      <c r="D23" s="1170">
        <v>240506</v>
      </c>
      <c r="E23" s="1171">
        <v>106742</v>
      </c>
      <c r="F23" s="1172">
        <v>563691</v>
      </c>
    </row>
    <row r="24" spans="1:6" hidden="1">
      <c r="A24" s="1173" t="s">
        <v>475</v>
      </c>
      <c r="B24" s="1170">
        <v>126239</v>
      </c>
      <c r="C24" s="1170">
        <v>118899</v>
      </c>
      <c r="D24" s="1170">
        <v>285282</v>
      </c>
      <c r="E24" s="1171">
        <v>99580</v>
      </c>
      <c r="F24" s="1172">
        <v>630000</v>
      </c>
    </row>
    <row r="25" spans="1:6" hidden="1">
      <c r="A25" s="1166" t="s">
        <v>207</v>
      </c>
      <c r="B25" s="1174">
        <v>125355</v>
      </c>
      <c r="C25" s="1174">
        <v>118930</v>
      </c>
      <c r="D25" s="1174">
        <v>287206</v>
      </c>
      <c r="E25" s="1175">
        <v>99705</v>
      </c>
      <c r="F25" s="1172">
        <v>631196</v>
      </c>
    </row>
    <row r="26" spans="1:6">
      <c r="A26" s="1166" t="s">
        <v>208</v>
      </c>
      <c r="B26" s="1174">
        <v>110486</v>
      </c>
      <c r="C26" s="1174">
        <v>99149</v>
      </c>
      <c r="D26" s="1174">
        <v>287522</v>
      </c>
      <c r="E26" s="1175">
        <v>77949</v>
      </c>
      <c r="F26" s="1172">
        <v>575106</v>
      </c>
    </row>
    <row r="27" spans="1:6">
      <c r="A27" s="1166" t="s">
        <v>2</v>
      </c>
      <c r="B27" s="1174">
        <v>105917</v>
      </c>
      <c r="C27" s="1174">
        <v>129840</v>
      </c>
      <c r="D27" s="1174">
        <v>290429</v>
      </c>
      <c r="E27" s="1175">
        <v>81914</v>
      </c>
      <c r="F27" s="1172">
        <v>608100</v>
      </c>
    </row>
    <row r="28" spans="1:6">
      <c r="A28" s="1166" t="s">
        <v>1</v>
      </c>
      <c r="B28" s="1174">
        <v>106316</v>
      </c>
      <c r="C28" s="1174">
        <v>129699</v>
      </c>
      <c r="D28" s="1174">
        <v>302800</v>
      </c>
      <c r="E28" s="1175">
        <v>94666</v>
      </c>
      <c r="F28" s="1172">
        <v>633481</v>
      </c>
    </row>
    <row r="29" spans="1:6">
      <c r="A29" s="1176" t="s">
        <v>476</v>
      </c>
      <c r="B29" s="1177"/>
      <c r="C29" s="1177"/>
      <c r="D29" s="1177"/>
      <c r="E29" s="1171"/>
      <c r="F29" s="1171"/>
    </row>
    <row r="30" spans="1:6" hidden="1">
      <c r="A30" s="1173" t="s">
        <v>184</v>
      </c>
      <c r="B30" s="1170">
        <v>679747</v>
      </c>
      <c r="C30" s="1170">
        <v>796483</v>
      </c>
      <c r="D30" s="1170">
        <v>717208</v>
      </c>
      <c r="E30" s="1171">
        <v>377895</v>
      </c>
      <c r="F30" s="1172">
        <v>2571333</v>
      </c>
    </row>
    <row r="31" spans="1:6" hidden="1">
      <c r="A31" s="1173" t="s">
        <v>185</v>
      </c>
      <c r="B31" s="1170">
        <v>669836</v>
      </c>
      <c r="C31" s="1170">
        <v>836807</v>
      </c>
      <c r="D31" s="1170">
        <v>722032</v>
      </c>
      <c r="E31" s="1171">
        <v>409445</v>
      </c>
      <c r="F31" s="1172">
        <v>2638120</v>
      </c>
    </row>
    <row r="32" spans="1:6" hidden="1">
      <c r="A32" s="1173" t="s">
        <v>186</v>
      </c>
      <c r="B32" s="1170">
        <v>716352</v>
      </c>
      <c r="C32" s="1170">
        <v>881799</v>
      </c>
      <c r="D32" s="1170">
        <v>726998</v>
      </c>
      <c r="E32" s="1171">
        <v>446238</v>
      </c>
      <c r="F32" s="1172">
        <v>2771387</v>
      </c>
    </row>
    <row r="33" spans="1:6" hidden="1">
      <c r="A33" s="1173" t="s">
        <v>189</v>
      </c>
      <c r="B33" s="1170">
        <v>696118</v>
      </c>
      <c r="C33" s="1170">
        <v>933976</v>
      </c>
      <c r="D33" s="1170">
        <v>729828</v>
      </c>
      <c r="E33" s="1171">
        <v>486940</v>
      </c>
      <c r="F33" s="1172">
        <v>2846862</v>
      </c>
    </row>
    <row r="34" spans="1:6" hidden="1">
      <c r="A34" s="1173" t="s">
        <v>191</v>
      </c>
      <c r="B34" s="1170">
        <v>732271</v>
      </c>
      <c r="C34" s="1170">
        <v>926638</v>
      </c>
      <c r="D34" s="1170">
        <v>714956</v>
      </c>
      <c r="E34" s="1171">
        <v>530640</v>
      </c>
      <c r="F34" s="1172">
        <v>2904505</v>
      </c>
    </row>
    <row r="35" spans="1:6" hidden="1">
      <c r="A35" s="1173" t="s">
        <v>194</v>
      </c>
      <c r="B35" s="1170">
        <v>739932</v>
      </c>
      <c r="C35" s="1170">
        <v>972943</v>
      </c>
      <c r="D35" s="1170">
        <v>733970</v>
      </c>
      <c r="E35" s="1171">
        <v>573917</v>
      </c>
      <c r="F35" s="1172">
        <v>3020762</v>
      </c>
    </row>
    <row r="36" spans="1:6" hidden="1">
      <c r="A36" s="1173" t="s">
        <v>196</v>
      </c>
      <c r="B36" s="1170">
        <v>788557</v>
      </c>
      <c r="C36" s="1170">
        <v>942284</v>
      </c>
      <c r="D36" s="1170">
        <v>760782</v>
      </c>
      <c r="E36" s="1171">
        <v>597776</v>
      </c>
      <c r="F36" s="1172">
        <v>3089399</v>
      </c>
    </row>
    <row r="37" spans="1:6" hidden="1">
      <c r="A37" s="1173" t="s">
        <v>197</v>
      </c>
      <c r="B37" s="1170">
        <v>806272</v>
      </c>
      <c r="C37" s="1170">
        <v>939184</v>
      </c>
      <c r="D37" s="1170">
        <v>786774</v>
      </c>
      <c r="E37" s="1171">
        <v>591445</v>
      </c>
      <c r="F37" s="1172">
        <v>3123675</v>
      </c>
    </row>
    <row r="38" spans="1:6" hidden="1">
      <c r="A38" s="1173" t="s">
        <v>198</v>
      </c>
      <c r="B38" s="1170">
        <v>794053</v>
      </c>
      <c r="C38" s="1170">
        <v>932686</v>
      </c>
      <c r="D38" s="1170">
        <v>838413</v>
      </c>
      <c r="E38" s="1171">
        <v>638545</v>
      </c>
      <c r="F38" s="1172">
        <v>3203697</v>
      </c>
    </row>
    <row r="39" spans="1:6" hidden="1">
      <c r="A39" s="1173" t="s">
        <v>199</v>
      </c>
      <c r="B39" s="1170">
        <v>833419</v>
      </c>
      <c r="C39" s="1170">
        <v>968307</v>
      </c>
      <c r="D39" s="1170">
        <v>864848</v>
      </c>
      <c r="E39" s="1171">
        <v>672728</v>
      </c>
      <c r="F39" s="1172">
        <v>3339302</v>
      </c>
    </row>
    <row r="40" spans="1:6" ht="12" customHeight="1">
      <c r="A40" s="1173" t="s">
        <v>200</v>
      </c>
      <c r="B40" s="1170">
        <v>845543</v>
      </c>
      <c r="C40" s="1170">
        <v>1082050</v>
      </c>
      <c r="D40" s="1170">
        <v>902352</v>
      </c>
      <c r="E40" s="1171">
        <v>714832</v>
      </c>
      <c r="F40" s="1172">
        <v>3544777</v>
      </c>
    </row>
    <row r="41" spans="1:6" hidden="1">
      <c r="A41" s="1173" t="s">
        <v>201</v>
      </c>
      <c r="B41" s="1170">
        <v>829283</v>
      </c>
      <c r="C41" s="1170">
        <v>1147335</v>
      </c>
      <c r="D41" s="1170">
        <v>909863</v>
      </c>
      <c r="E41" s="1171">
        <v>705933</v>
      </c>
      <c r="F41" s="1172">
        <v>3592414</v>
      </c>
    </row>
    <row r="42" spans="1:6" hidden="1">
      <c r="A42" s="1173" t="s">
        <v>202</v>
      </c>
      <c r="B42" s="1170">
        <v>857418</v>
      </c>
      <c r="C42" s="1170">
        <v>1161348</v>
      </c>
      <c r="D42" s="1170">
        <v>874983</v>
      </c>
      <c r="E42" s="1171">
        <v>722338</v>
      </c>
      <c r="F42" s="1172">
        <v>3616087</v>
      </c>
    </row>
    <row r="43" spans="1:6" hidden="1">
      <c r="A43" s="1173" t="s">
        <v>203</v>
      </c>
      <c r="B43" s="1170">
        <v>814832</v>
      </c>
      <c r="C43" s="1170">
        <v>1189810</v>
      </c>
      <c r="D43" s="1170">
        <v>898489</v>
      </c>
      <c r="E43" s="1171">
        <v>725408</v>
      </c>
      <c r="F43" s="1172">
        <v>3628539</v>
      </c>
    </row>
    <row r="44" spans="1:6" hidden="1">
      <c r="A44" s="1173" t="s">
        <v>204</v>
      </c>
      <c r="B44" s="1170">
        <v>801568</v>
      </c>
      <c r="C44" s="1170">
        <v>1261947</v>
      </c>
      <c r="D44" s="1170">
        <v>953028</v>
      </c>
      <c r="E44" s="1171">
        <v>765489</v>
      </c>
      <c r="F44" s="1172">
        <v>3782032</v>
      </c>
    </row>
    <row r="45" spans="1:6" hidden="1">
      <c r="A45" s="1173" t="s">
        <v>205</v>
      </c>
      <c r="B45" s="1170">
        <v>793317</v>
      </c>
      <c r="C45" s="1170">
        <v>1283084</v>
      </c>
      <c r="D45" s="1170">
        <v>925868</v>
      </c>
      <c r="E45" s="1171">
        <v>802643</v>
      </c>
      <c r="F45" s="1172">
        <v>3804912</v>
      </c>
    </row>
    <row r="46" spans="1:6" hidden="1">
      <c r="A46" s="1173" t="s">
        <v>206</v>
      </c>
      <c r="B46" s="1170">
        <v>768775</v>
      </c>
      <c r="C46" s="1170">
        <v>1331343</v>
      </c>
      <c r="D46" s="1170">
        <v>959108</v>
      </c>
      <c r="E46" s="1171">
        <v>832541</v>
      </c>
      <c r="F46" s="1172">
        <v>3891767</v>
      </c>
    </row>
    <row r="47" spans="1:6" hidden="1">
      <c r="A47" s="1173" t="s">
        <v>475</v>
      </c>
      <c r="B47" s="1170">
        <v>711070</v>
      </c>
      <c r="C47" s="1170">
        <v>1315963</v>
      </c>
      <c r="D47" s="1170">
        <v>958907</v>
      </c>
      <c r="E47" s="1171">
        <v>821199</v>
      </c>
      <c r="F47" s="1172">
        <v>3807139</v>
      </c>
    </row>
    <row r="48" spans="1:6" hidden="1">
      <c r="A48" s="1166" t="s">
        <v>207</v>
      </c>
      <c r="B48" s="1174">
        <v>710140</v>
      </c>
      <c r="C48" s="1174">
        <v>1371785</v>
      </c>
      <c r="D48" s="1174">
        <v>1002255</v>
      </c>
      <c r="E48" s="1175">
        <v>866180</v>
      </c>
      <c r="F48" s="1172">
        <v>3950360</v>
      </c>
    </row>
    <row r="49" spans="1:6">
      <c r="A49" s="1166" t="s">
        <v>208</v>
      </c>
      <c r="B49" s="1174">
        <v>735443</v>
      </c>
      <c r="C49" s="1174">
        <v>1420321</v>
      </c>
      <c r="D49" s="1174">
        <v>1016100</v>
      </c>
      <c r="E49" s="1175">
        <v>877604</v>
      </c>
      <c r="F49" s="1172">
        <v>4049468</v>
      </c>
    </row>
    <row r="50" spans="1:6">
      <c r="A50" s="1166" t="s">
        <v>2</v>
      </c>
      <c r="B50" s="1174">
        <v>720872</v>
      </c>
      <c r="C50" s="1174">
        <v>1424774</v>
      </c>
      <c r="D50" s="1174">
        <v>1025282</v>
      </c>
      <c r="E50" s="1175">
        <v>852064</v>
      </c>
      <c r="F50" s="1172">
        <v>4022992</v>
      </c>
    </row>
    <row r="51" spans="1:6">
      <c r="A51" s="1166" t="s">
        <v>1</v>
      </c>
      <c r="B51" s="1174">
        <v>740472</v>
      </c>
      <c r="C51" s="1174">
        <v>1233091</v>
      </c>
      <c r="D51" s="1174">
        <v>976980</v>
      </c>
      <c r="E51" s="1175">
        <v>856112</v>
      </c>
      <c r="F51" s="1172">
        <v>3806655</v>
      </c>
    </row>
    <row r="52" spans="1:6" ht="10.5" customHeight="1">
      <c r="A52" s="1176" t="s">
        <v>477</v>
      </c>
      <c r="B52" s="1177"/>
      <c r="C52" s="1177"/>
      <c r="D52" s="1177"/>
      <c r="E52" s="1171"/>
      <c r="F52" s="1171"/>
    </row>
    <row r="53" spans="1:6" ht="12.75" hidden="1" customHeight="1">
      <c r="A53" s="1166" t="s">
        <v>184</v>
      </c>
      <c r="B53" s="1170">
        <v>24496</v>
      </c>
      <c r="C53" s="1170">
        <v>139941</v>
      </c>
      <c r="D53" s="1170">
        <v>64460</v>
      </c>
      <c r="E53" s="1171">
        <v>35970</v>
      </c>
      <c r="F53" s="1172">
        <v>264867</v>
      </c>
    </row>
    <row r="54" spans="1:6" hidden="1">
      <c r="A54" s="1166" t="s">
        <v>185</v>
      </c>
      <c r="B54" s="1170">
        <v>17392</v>
      </c>
      <c r="C54" s="1170">
        <v>116788</v>
      </c>
      <c r="D54" s="1170">
        <v>64889</v>
      </c>
      <c r="E54" s="1171">
        <v>44302</v>
      </c>
      <c r="F54" s="1172">
        <v>243371</v>
      </c>
    </row>
    <row r="55" spans="1:6" hidden="1">
      <c r="A55" s="1166" t="s">
        <v>186</v>
      </c>
      <c r="B55" s="1170">
        <v>27919</v>
      </c>
      <c r="C55" s="1170">
        <v>120105</v>
      </c>
      <c r="D55" s="1170">
        <v>74013</v>
      </c>
      <c r="E55" s="1171">
        <v>37834</v>
      </c>
      <c r="F55" s="1172">
        <v>259871</v>
      </c>
    </row>
    <row r="56" spans="1:6" hidden="1">
      <c r="A56" s="1166" t="s">
        <v>189</v>
      </c>
      <c r="B56" s="1170">
        <v>28021</v>
      </c>
      <c r="C56" s="1170">
        <v>132616</v>
      </c>
      <c r="D56" s="1170">
        <v>66924</v>
      </c>
      <c r="E56" s="1171">
        <v>26174</v>
      </c>
      <c r="F56" s="1172">
        <v>253735</v>
      </c>
    </row>
    <row r="57" spans="1:6" hidden="1">
      <c r="A57" s="1166" t="s">
        <v>191</v>
      </c>
      <c r="B57" s="1170">
        <v>34958</v>
      </c>
      <c r="C57" s="1170">
        <v>141609</v>
      </c>
      <c r="D57" s="1170">
        <v>61900</v>
      </c>
      <c r="E57" s="1171">
        <v>26717</v>
      </c>
      <c r="F57" s="1172">
        <v>265184</v>
      </c>
    </row>
    <row r="58" spans="1:6" hidden="1">
      <c r="A58" s="1166" t="s">
        <v>194</v>
      </c>
      <c r="B58" s="1170">
        <v>50904</v>
      </c>
      <c r="C58" s="1170">
        <v>141724</v>
      </c>
      <c r="D58" s="1170">
        <v>54657</v>
      </c>
      <c r="E58" s="1171">
        <v>26614</v>
      </c>
      <c r="F58" s="1172">
        <v>273899</v>
      </c>
    </row>
    <row r="59" spans="1:6" hidden="1">
      <c r="A59" s="1166" t="s">
        <v>196</v>
      </c>
      <c r="B59" s="1170">
        <v>45130</v>
      </c>
      <c r="C59" s="1170">
        <v>140239</v>
      </c>
      <c r="D59" s="1170">
        <v>53553</v>
      </c>
      <c r="E59" s="1171">
        <v>24848</v>
      </c>
      <c r="F59" s="1172">
        <v>263770</v>
      </c>
    </row>
    <row r="60" spans="1:6" hidden="1">
      <c r="A60" s="1166" t="s">
        <v>197</v>
      </c>
      <c r="B60" s="1170">
        <v>27752</v>
      </c>
      <c r="C60" s="1170">
        <v>126107</v>
      </c>
      <c r="D60" s="1170">
        <v>54546</v>
      </c>
      <c r="E60" s="1171">
        <v>22533</v>
      </c>
      <c r="F60" s="1172">
        <v>230938</v>
      </c>
    </row>
    <row r="61" spans="1:6" ht="12" hidden="1" customHeight="1">
      <c r="A61" s="1166" t="s">
        <v>198</v>
      </c>
      <c r="B61" s="1170">
        <v>31775</v>
      </c>
      <c r="C61" s="1170">
        <v>138444</v>
      </c>
      <c r="D61" s="1170">
        <v>58429</v>
      </c>
      <c r="E61" s="1171">
        <v>20655</v>
      </c>
      <c r="F61" s="1172">
        <v>249303</v>
      </c>
    </row>
    <row r="62" spans="1:6" hidden="1">
      <c r="A62" s="1166" t="s">
        <v>199</v>
      </c>
      <c r="B62" s="1170">
        <v>21345</v>
      </c>
      <c r="C62" s="1170">
        <v>83342</v>
      </c>
      <c r="D62" s="1170">
        <v>61494</v>
      </c>
      <c r="E62" s="1171">
        <v>20823</v>
      </c>
      <c r="F62" s="1172">
        <v>187004</v>
      </c>
    </row>
    <row r="63" spans="1:6" ht="11.25" customHeight="1">
      <c r="A63" s="1166" t="s">
        <v>200</v>
      </c>
      <c r="B63" s="1170">
        <v>12051</v>
      </c>
      <c r="C63" s="1170">
        <v>38965</v>
      </c>
      <c r="D63" s="1170">
        <v>61937</v>
      </c>
      <c r="E63" s="1171">
        <v>19173</v>
      </c>
      <c r="F63" s="1172">
        <v>132126</v>
      </c>
    </row>
    <row r="64" spans="1:6" ht="12.75" hidden="1" customHeight="1">
      <c r="A64" s="1166" t="s">
        <v>201</v>
      </c>
      <c r="B64" s="1170">
        <v>13595</v>
      </c>
      <c r="C64" s="1170">
        <v>36005</v>
      </c>
      <c r="D64" s="1170">
        <v>57392</v>
      </c>
      <c r="E64" s="1171">
        <v>20090</v>
      </c>
      <c r="F64" s="1172">
        <v>127082</v>
      </c>
    </row>
    <row r="65" spans="1:6" hidden="1">
      <c r="A65" s="1166" t="s">
        <v>202</v>
      </c>
      <c r="B65" s="1170">
        <v>10749</v>
      </c>
      <c r="C65" s="1170">
        <v>39380</v>
      </c>
      <c r="D65" s="1170">
        <v>59848</v>
      </c>
      <c r="E65" s="1171">
        <v>24060</v>
      </c>
      <c r="F65" s="1172">
        <v>134037</v>
      </c>
    </row>
    <row r="66" spans="1:6" hidden="1">
      <c r="A66" s="1166" t="s">
        <v>203</v>
      </c>
      <c r="B66" s="1170">
        <v>15076</v>
      </c>
      <c r="C66" s="1170">
        <v>43984</v>
      </c>
      <c r="D66" s="1170">
        <v>53023</v>
      </c>
      <c r="E66" s="1171">
        <v>23392</v>
      </c>
      <c r="F66" s="1172">
        <v>135475</v>
      </c>
    </row>
    <row r="67" spans="1:6" hidden="1">
      <c r="A67" s="1166" t="s">
        <v>204</v>
      </c>
      <c r="B67" s="1170">
        <v>24724</v>
      </c>
      <c r="C67" s="1170">
        <v>45031</v>
      </c>
      <c r="D67" s="1170">
        <v>59353</v>
      </c>
      <c r="E67" s="1171">
        <v>27154</v>
      </c>
      <c r="F67" s="1172">
        <v>156262</v>
      </c>
    </row>
    <row r="68" spans="1:6" hidden="1">
      <c r="A68" s="1166" t="s">
        <v>205</v>
      </c>
      <c r="B68" s="1170">
        <v>12442</v>
      </c>
      <c r="C68" s="1170">
        <v>47756</v>
      </c>
      <c r="D68" s="1170">
        <v>55419</v>
      </c>
      <c r="E68" s="1171">
        <v>30405</v>
      </c>
      <c r="F68" s="1172">
        <v>146022</v>
      </c>
    </row>
    <row r="69" spans="1:6" hidden="1">
      <c r="A69" s="1166" t="s">
        <v>206</v>
      </c>
      <c r="B69" s="1170">
        <v>14137</v>
      </c>
      <c r="C69" s="1170">
        <v>41156</v>
      </c>
      <c r="D69" s="1170">
        <v>58516</v>
      </c>
      <c r="E69" s="1171">
        <v>28270</v>
      </c>
      <c r="F69" s="1172">
        <v>142079</v>
      </c>
    </row>
    <row r="70" spans="1:6" hidden="1">
      <c r="A70" s="1166" t="s">
        <v>475</v>
      </c>
      <c r="B70" s="1170">
        <v>48595</v>
      </c>
      <c r="C70" s="1170">
        <v>47070</v>
      </c>
      <c r="D70" s="1170">
        <v>57049</v>
      </c>
      <c r="E70" s="1171">
        <v>26616</v>
      </c>
      <c r="F70" s="1172">
        <v>179330</v>
      </c>
    </row>
    <row r="71" spans="1:6" hidden="1">
      <c r="A71" s="1166" t="s">
        <v>207</v>
      </c>
      <c r="B71" s="1174">
        <v>50628</v>
      </c>
      <c r="C71" s="1174">
        <v>50663</v>
      </c>
      <c r="D71" s="1174">
        <v>50089</v>
      </c>
      <c r="E71" s="1178">
        <v>36017</v>
      </c>
      <c r="F71" s="1172">
        <v>187397</v>
      </c>
    </row>
    <row r="72" spans="1:6">
      <c r="A72" s="1166" t="s">
        <v>208</v>
      </c>
      <c r="B72" s="1174">
        <v>55507</v>
      </c>
      <c r="C72" s="1174">
        <v>47556</v>
      </c>
      <c r="D72" s="1174">
        <v>46152</v>
      </c>
      <c r="E72" s="1175">
        <v>60037</v>
      </c>
      <c r="F72" s="1172">
        <v>209252</v>
      </c>
    </row>
    <row r="73" spans="1:6">
      <c r="A73" s="1166" t="s">
        <v>2</v>
      </c>
      <c r="B73" s="1174">
        <v>55911</v>
      </c>
      <c r="C73" s="1174">
        <v>55308</v>
      </c>
      <c r="D73" s="1174">
        <v>45871</v>
      </c>
      <c r="E73" s="1175">
        <v>61530</v>
      </c>
      <c r="F73" s="1172">
        <v>218620</v>
      </c>
    </row>
    <row r="74" spans="1:6">
      <c r="A74" s="1166" t="s">
        <v>1</v>
      </c>
      <c r="B74" s="1174">
        <v>62766</v>
      </c>
      <c r="C74" s="1174">
        <v>44261</v>
      </c>
      <c r="D74" s="1174">
        <v>47816</v>
      </c>
      <c r="E74" s="1175">
        <v>29392</v>
      </c>
      <c r="F74" s="1172">
        <v>184235</v>
      </c>
    </row>
    <row r="75" spans="1:6" ht="12" customHeight="1">
      <c r="A75" s="1176" t="s">
        <v>478</v>
      </c>
      <c r="B75" s="1179"/>
      <c r="C75" s="1179"/>
      <c r="D75" s="1179"/>
      <c r="E75" s="1180"/>
      <c r="F75" s="1171"/>
    </row>
    <row r="76" spans="1:6" hidden="1">
      <c r="A76" s="1173" t="s">
        <v>184</v>
      </c>
      <c r="B76" s="1181"/>
      <c r="C76" s="1181"/>
      <c r="D76" s="1181"/>
      <c r="E76" s="1182"/>
      <c r="F76" s="1172">
        <v>324804</v>
      </c>
    </row>
    <row r="77" spans="1:6" hidden="1">
      <c r="A77" s="1173" t="s">
        <v>185</v>
      </c>
      <c r="B77" s="1181"/>
      <c r="C77" s="1181"/>
      <c r="D77" s="1181"/>
      <c r="E77" s="1182"/>
      <c r="F77" s="1172">
        <v>338430</v>
      </c>
    </row>
    <row r="78" spans="1:6" hidden="1">
      <c r="A78" s="1173" t="s">
        <v>186</v>
      </c>
      <c r="B78" s="1181"/>
      <c r="C78" s="1181"/>
      <c r="D78" s="1181"/>
      <c r="E78" s="1182"/>
      <c r="F78" s="1172">
        <v>327054</v>
      </c>
    </row>
    <row r="79" spans="1:6" hidden="1">
      <c r="A79" s="1173" t="s">
        <v>189</v>
      </c>
      <c r="B79" s="1181"/>
      <c r="C79" s="1181"/>
      <c r="D79" s="1181"/>
      <c r="E79" s="1182"/>
      <c r="F79" s="1172">
        <v>303289</v>
      </c>
    </row>
    <row r="80" spans="1:6" hidden="1">
      <c r="A80" s="1173" t="s">
        <v>191</v>
      </c>
      <c r="B80" s="1181"/>
      <c r="C80" s="1181"/>
      <c r="D80" s="1181"/>
      <c r="E80" s="1182"/>
      <c r="F80" s="1172">
        <v>291061</v>
      </c>
    </row>
    <row r="81" spans="1:6" hidden="1">
      <c r="A81" s="1173" t="s">
        <v>194</v>
      </c>
      <c r="B81" s="1181"/>
      <c r="C81" s="1181"/>
      <c r="D81" s="1181"/>
      <c r="E81" s="1182"/>
      <c r="F81" s="1172">
        <v>284163</v>
      </c>
    </row>
    <row r="82" spans="1:6" hidden="1">
      <c r="A82" s="1173" t="s">
        <v>196</v>
      </c>
      <c r="B82" s="1181"/>
      <c r="C82" s="1181"/>
      <c r="D82" s="1181"/>
      <c r="E82" s="1182"/>
      <c r="F82" s="1172">
        <v>274370</v>
      </c>
    </row>
    <row r="83" spans="1:6" hidden="1">
      <c r="A83" s="1173" t="s">
        <v>197</v>
      </c>
      <c r="B83" s="1181"/>
      <c r="C83" s="1181"/>
      <c r="D83" s="1181"/>
      <c r="E83" s="1182"/>
      <c r="F83" s="1172">
        <v>262607</v>
      </c>
    </row>
    <row r="84" spans="1:6" hidden="1">
      <c r="A84" s="1166" t="s">
        <v>198</v>
      </c>
      <c r="B84" s="1170">
        <v>38185</v>
      </c>
      <c r="C84" s="1170">
        <v>83169</v>
      </c>
      <c r="D84" s="1170">
        <v>102733</v>
      </c>
      <c r="E84" s="1171">
        <v>38299</v>
      </c>
      <c r="F84" s="1172">
        <v>262386</v>
      </c>
    </row>
    <row r="85" spans="1:6" hidden="1">
      <c r="A85" s="1166" t="s">
        <v>199</v>
      </c>
      <c r="B85" s="1170">
        <v>36881</v>
      </c>
      <c r="C85" s="1170">
        <v>79897</v>
      </c>
      <c r="D85" s="1170">
        <v>98932</v>
      </c>
      <c r="E85" s="1171">
        <v>39360</v>
      </c>
      <c r="F85" s="1172">
        <v>255070</v>
      </c>
    </row>
    <row r="86" spans="1:6" ht="12.75" customHeight="1">
      <c r="A86" s="1166" t="s">
        <v>200</v>
      </c>
      <c r="B86" s="1170">
        <v>31639</v>
      </c>
      <c r="C86" s="1170">
        <v>87982</v>
      </c>
      <c r="D86" s="1170">
        <v>106473</v>
      </c>
      <c r="E86" s="1171">
        <v>42167</v>
      </c>
      <c r="F86" s="1172">
        <v>268261</v>
      </c>
    </row>
    <row r="87" spans="1:6" ht="12.75" hidden="1" customHeight="1">
      <c r="A87" s="1166" t="s">
        <v>201</v>
      </c>
      <c r="B87" s="1170">
        <v>38181</v>
      </c>
      <c r="C87" s="1170">
        <v>86411</v>
      </c>
      <c r="D87" s="1170">
        <v>106113</v>
      </c>
      <c r="E87" s="1171">
        <v>39952</v>
      </c>
      <c r="F87" s="1172">
        <v>270657</v>
      </c>
    </row>
    <row r="88" spans="1:6" ht="12.75" hidden="1" customHeight="1">
      <c r="A88" s="1166" t="s">
        <v>202</v>
      </c>
      <c r="B88" s="1170">
        <v>39097</v>
      </c>
      <c r="C88" s="1170">
        <v>86964</v>
      </c>
      <c r="D88" s="1170">
        <v>112471</v>
      </c>
      <c r="E88" s="1171">
        <v>38100</v>
      </c>
      <c r="F88" s="1172">
        <v>276632</v>
      </c>
    </row>
    <row r="89" spans="1:6" hidden="1">
      <c r="A89" s="1166" t="s">
        <v>203</v>
      </c>
      <c r="B89" s="1170">
        <v>39184</v>
      </c>
      <c r="C89" s="1170">
        <v>92268</v>
      </c>
      <c r="D89" s="1170">
        <v>120268</v>
      </c>
      <c r="E89" s="1171">
        <v>29165</v>
      </c>
      <c r="F89" s="1172">
        <v>280885</v>
      </c>
    </row>
    <row r="90" spans="1:6" hidden="1">
      <c r="A90" s="1166" t="s">
        <v>204</v>
      </c>
      <c r="B90" s="1170">
        <v>43716</v>
      </c>
      <c r="C90" s="1170">
        <v>93196</v>
      </c>
      <c r="D90" s="1170">
        <v>128090</v>
      </c>
      <c r="E90" s="1171">
        <v>27324</v>
      </c>
      <c r="F90" s="1172">
        <v>292326</v>
      </c>
    </row>
    <row r="91" spans="1:6" hidden="1">
      <c r="A91" s="1166" t="s">
        <v>205</v>
      </c>
      <c r="B91" s="1170">
        <v>52971</v>
      </c>
      <c r="C91" s="1170">
        <v>84650</v>
      </c>
      <c r="D91" s="1170">
        <v>127800</v>
      </c>
      <c r="E91" s="1171">
        <v>38251</v>
      </c>
      <c r="F91" s="1172">
        <v>303672</v>
      </c>
    </row>
    <row r="92" spans="1:6" hidden="1">
      <c r="A92" s="1166" t="s">
        <v>206</v>
      </c>
      <c r="B92" s="1170">
        <v>57045</v>
      </c>
      <c r="C92" s="1170">
        <v>87087</v>
      </c>
      <c r="D92" s="1170">
        <v>127642</v>
      </c>
      <c r="E92" s="1171">
        <v>36651</v>
      </c>
      <c r="F92" s="1172">
        <v>308425</v>
      </c>
    </row>
    <row r="93" spans="1:6" hidden="1">
      <c r="A93" s="1166" t="s">
        <v>475</v>
      </c>
      <c r="B93" s="1170">
        <v>54703</v>
      </c>
      <c r="C93" s="1170">
        <v>83781</v>
      </c>
      <c r="D93" s="1170">
        <v>113562</v>
      </c>
      <c r="E93" s="1171">
        <v>28331</v>
      </c>
      <c r="F93" s="1172">
        <v>280377</v>
      </c>
    </row>
    <row r="94" spans="1:6" hidden="1">
      <c r="A94" s="1166" t="s">
        <v>207</v>
      </c>
      <c r="B94" s="1174">
        <v>61802</v>
      </c>
      <c r="C94" s="1174">
        <v>79321</v>
      </c>
      <c r="D94" s="1174">
        <v>113970</v>
      </c>
      <c r="E94" s="1175">
        <v>32689</v>
      </c>
      <c r="F94" s="1172">
        <v>287782</v>
      </c>
    </row>
    <row r="95" spans="1:6">
      <c r="A95" s="1166" t="s">
        <v>208</v>
      </c>
      <c r="B95" s="1174">
        <v>53239</v>
      </c>
      <c r="C95" s="1174">
        <v>80413</v>
      </c>
      <c r="D95" s="1174">
        <v>107765</v>
      </c>
      <c r="E95" s="1175">
        <v>31503</v>
      </c>
      <c r="F95" s="1172">
        <v>272920</v>
      </c>
    </row>
    <row r="96" spans="1:6">
      <c r="A96" s="1166" t="s">
        <v>2</v>
      </c>
      <c r="B96" s="1174">
        <v>49223</v>
      </c>
      <c r="C96" s="1174">
        <v>69639</v>
      </c>
      <c r="D96" s="1174">
        <v>105676</v>
      </c>
      <c r="E96" s="1175">
        <v>20789</v>
      </c>
      <c r="F96" s="1172">
        <v>245327</v>
      </c>
    </row>
    <row r="97" spans="1:6">
      <c r="A97" s="1166" t="s">
        <v>1</v>
      </c>
      <c r="B97" s="1174">
        <v>51214</v>
      </c>
      <c r="C97" s="1174">
        <v>66400</v>
      </c>
      <c r="D97" s="1174">
        <v>91572</v>
      </c>
      <c r="E97" s="1175">
        <v>23390</v>
      </c>
      <c r="F97" s="1172">
        <v>232576</v>
      </c>
    </row>
    <row r="98" spans="1:6">
      <c r="A98" s="1176" t="s">
        <v>479</v>
      </c>
      <c r="B98" s="1177"/>
      <c r="C98" s="1177"/>
      <c r="D98" s="1177"/>
      <c r="E98" s="1171"/>
      <c r="F98" s="1171"/>
    </row>
    <row r="99" spans="1:6" hidden="1">
      <c r="A99" s="1173" t="s">
        <v>184</v>
      </c>
      <c r="B99" s="1177">
        <v>7054</v>
      </c>
      <c r="C99" s="1177">
        <v>11625</v>
      </c>
      <c r="D99" s="1177">
        <v>40106</v>
      </c>
      <c r="E99" s="1171">
        <v>4911</v>
      </c>
      <c r="F99" s="1172">
        <v>63696</v>
      </c>
    </row>
    <row r="100" spans="1:6" hidden="1">
      <c r="A100" s="1173" t="s">
        <v>185</v>
      </c>
      <c r="B100" s="1177">
        <v>18623</v>
      </c>
      <c r="C100" s="1177">
        <v>9132</v>
      </c>
      <c r="D100" s="1177">
        <v>35786</v>
      </c>
      <c r="E100" s="1171">
        <v>10652</v>
      </c>
      <c r="F100" s="1172">
        <v>74193</v>
      </c>
    </row>
    <row r="101" spans="1:6" hidden="1">
      <c r="A101" s="1173" t="s">
        <v>186</v>
      </c>
      <c r="B101" s="1177">
        <v>14943</v>
      </c>
      <c r="C101" s="1177">
        <v>9922</v>
      </c>
      <c r="D101" s="1177">
        <v>31230</v>
      </c>
      <c r="E101" s="1171">
        <v>7099</v>
      </c>
      <c r="F101" s="1172">
        <v>63194</v>
      </c>
    </row>
    <row r="102" spans="1:6" hidden="1">
      <c r="A102" s="1173" t="s">
        <v>189</v>
      </c>
      <c r="B102" s="1177">
        <v>19327</v>
      </c>
      <c r="C102" s="1177">
        <v>11261</v>
      </c>
      <c r="D102" s="1177">
        <v>33126</v>
      </c>
      <c r="E102" s="1171">
        <v>7286</v>
      </c>
      <c r="F102" s="1172">
        <v>71000</v>
      </c>
    </row>
    <row r="103" spans="1:6" hidden="1">
      <c r="A103" s="1173" t="s">
        <v>191</v>
      </c>
      <c r="B103" s="1177">
        <v>22842</v>
      </c>
      <c r="C103" s="1177">
        <v>9746</v>
      </c>
      <c r="D103" s="1177">
        <v>31435</v>
      </c>
      <c r="E103" s="1171">
        <v>6513</v>
      </c>
      <c r="F103" s="1172">
        <v>70536</v>
      </c>
    </row>
    <row r="104" spans="1:6" hidden="1">
      <c r="A104" s="1173" t="s">
        <v>194</v>
      </c>
      <c r="B104" s="1177">
        <v>23161</v>
      </c>
      <c r="C104" s="1177">
        <v>8387</v>
      </c>
      <c r="D104" s="1177">
        <v>32543</v>
      </c>
      <c r="E104" s="1171">
        <v>6882</v>
      </c>
      <c r="F104" s="1172">
        <v>70973</v>
      </c>
    </row>
    <row r="105" spans="1:6" hidden="1">
      <c r="A105" s="1173" t="s">
        <v>196</v>
      </c>
      <c r="B105" s="1177">
        <v>18954</v>
      </c>
      <c r="C105" s="1177">
        <v>12552</v>
      </c>
      <c r="D105" s="1177">
        <v>34821</v>
      </c>
      <c r="E105" s="1171">
        <v>11948</v>
      </c>
      <c r="F105" s="1172">
        <v>78275</v>
      </c>
    </row>
    <row r="106" spans="1:6" hidden="1">
      <c r="A106" s="1173" t="s">
        <v>197</v>
      </c>
      <c r="B106" s="1177">
        <v>20731</v>
      </c>
      <c r="C106" s="1177">
        <v>10963</v>
      </c>
      <c r="D106" s="1177">
        <v>27946</v>
      </c>
      <c r="E106" s="1171">
        <v>10661</v>
      </c>
      <c r="F106" s="1172">
        <v>70301</v>
      </c>
    </row>
    <row r="107" spans="1:6" ht="11.25" hidden="1" customHeight="1">
      <c r="A107" s="1166" t="s">
        <v>198</v>
      </c>
      <c r="B107" s="1170">
        <v>26764</v>
      </c>
      <c r="C107" s="1170">
        <v>13725</v>
      </c>
      <c r="D107" s="1170">
        <v>24969</v>
      </c>
      <c r="E107" s="1171">
        <v>17418</v>
      </c>
      <c r="F107" s="1172">
        <v>82876</v>
      </c>
    </row>
    <row r="108" spans="1:6" hidden="1">
      <c r="A108" s="1166" t="s">
        <v>199</v>
      </c>
      <c r="B108" s="1170">
        <v>22521</v>
      </c>
      <c r="C108" s="1170">
        <v>14066</v>
      </c>
      <c r="D108" s="1170">
        <v>19561</v>
      </c>
      <c r="E108" s="1171">
        <v>13849</v>
      </c>
      <c r="F108" s="1172">
        <v>69997</v>
      </c>
    </row>
    <row r="109" spans="1:6">
      <c r="A109" s="1166" t="s">
        <v>200</v>
      </c>
      <c r="B109" s="1170">
        <v>16215</v>
      </c>
      <c r="C109" s="1170">
        <v>13784</v>
      </c>
      <c r="D109" s="1170">
        <v>21637</v>
      </c>
      <c r="E109" s="1171">
        <v>17360</v>
      </c>
      <c r="F109" s="1172">
        <v>68996</v>
      </c>
    </row>
    <row r="110" spans="1:6" ht="12.75" hidden="1" customHeight="1">
      <c r="A110" s="1166" t="s">
        <v>201</v>
      </c>
      <c r="B110" s="1170">
        <v>22559</v>
      </c>
      <c r="C110" s="1170">
        <v>11223</v>
      </c>
      <c r="D110" s="1170">
        <v>21839</v>
      </c>
      <c r="E110" s="1171">
        <v>12795</v>
      </c>
      <c r="F110" s="1172">
        <v>68416</v>
      </c>
    </row>
    <row r="111" spans="1:6" hidden="1">
      <c r="A111" s="1166" t="s">
        <v>202</v>
      </c>
      <c r="B111" s="1170">
        <v>19685</v>
      </c>
      <c r="C111" s="1170">
        <v>10237</v>
      </c>
      <c r="D111" s="1170">
        <v>24778</v>
      </c>
      <c r="E111" s="1171">
        <v>15605</v>
      </c>
      <c r="F111" s="1172">
        <v>70305</v>
      </c>
    </row>
    <row r="112" spans="1:6" hidden="1">
      <c r="A112" s="1166" t="s">
        <v>203</v>
      </c>
      <c r="B112" s="1170">
        <v>13989</v>
      </c>
      <c r="C112" s="1170">
        <v>9010</v>
      </c>
      <c r="D112" s="1170">
        <v>22918</v>
      </c>
      <c r="E112" s="1171">
        <v>16740</v>
      </c>
      <c r="F112" s="1172">
        <v>62657</v>
      </c>
    </row>
    <row r="113" spans="1:6" hidden="1">
      <c r="A113" s="1166" t="s">
        <v>204</v>
      </c>
      <c r="B113" s="1170">
        <v>9562</v>
      </c>
      <c r="C113" s="1170">
        <v>9430</v>
      </c>
      <c r="D113" s="1170">
        <v>24975</v>
      </c>
      <c r="E113" s="1171">
        <v>17291</v>
      </c>
      <c r="F113" s="1172">
        <v>61258</v>
      </c>
    </row>
    <row r="114" spans="1:6" hidden="1">
      <c r="A114" s="1166" t="s">
        <v>205</v>
      </c>
      <c r="B114" s="1170">
        <v>7282</v>
      </c>
      <c r="C114" s="1170">
        <v>8481</v>
      </c>
      <c r="D114" s="1170">
        <v>19272</v>
      </c>
      <c r="E114" s="1171">
        <v>16170</v>
      </c>
      <c r="F114" s="1172">
        <v>51205</v>
      </c>
    </row>
    <row r="115" spans="1:6" hidden="1">
      <c r="A115" s="1166" t="s">
        <v>206</v>
      </c>
      <c r="B115" s="1170">
        <v>6749</v>
      </c>
      <c r="C115" s="1170">
        <v>8958</v>
      </c>
      <c r="D115" s="1170">
        <v>22199</v>
      </c>
      <c r="E115" s="1171">
        <v>21365</v>
      </c>
      <c r="F115" s="1172">
        <v>59271</v>
      </c>
    </row>
    <row r="116" spans="1:6" hidden="1">
      <c r="A116" s="1166" t="s">
        <v>475</v>
      </c>
      <c r="B116" s="1170">
        <v>7492</v>
      </c>
      <c r="C116" s="1170">
        <v>9531</v>
      </c>
      <c r="D116" s="1170">
        <v>31601</v>
      </c>
      <c r="E116" s="1171">
        <v>16542</v>
      </c>
      <c r="F116" s="1172">
        <v>65166</v>
      </c>
    </row>
    <row r="117" spans="1:6" hidden="1">
      <c r="A117" s="1166" t="s">
        <v>207</v>
      </c>
      <c r="B117" s="1174">
        <v>14475</v>
      </c>
      <c r="C117" s="1174">
        <v>11479</v>
      </c>
      <c r="D117" s="1174">
        <v>32127</v>
      </c>
      <c r="E117" s="1175">
        <v>15113</v>
      </c>
      <c r="F117" s="1172">
        <v>73194</v>
      </c>
    </row>
    <row r="118" spans="1:6">
      <c r="A118" s="1166" t="s">
        <v>208</v>
      </c>
      <c r="B118" s="1183" t="s">
        <v>134</v>
      </c>
      <c r="C118" s="1183" t="s">
        <v>134</v>
      </c>
      <c r="D118" s="1184">
        <v>27665</v>
      </c>
      <c r="E118" s="1175">
        <v>11250</v>
      </c>
      <c r="F118" s="1172">
        <v>87110</v>
      </c>
    </row>
    <row r="119" spans="1:6">
      <c r="A119" s="1166" t="s">
        <v>2</v>
      </c>
      <c r="B119" s="1183" t="s">
        <v>134</v>
      </c>
      <c r="C119" s="1183" t="s">
        <v>134</v>
      </c>
      <c r="D119" s="1184">
        <v>16032</v>
      </c>
      <c r="E119" s="1175">
        <v>10637</v>
      </c>
      <c r="F119" s="1172">
        <v>63819</v>
      </c>
    </row>
    <row r="120" spans="1:6">
      <c r="A120" s="1166" t="s">
        <v>1</v>
      </c>
      <c r="B120" s="1183" t="s">
        <v>134</v>
      </c>
      <c r="C120" s="1183" t="s">
        <v>134</v>
      </c>
      <c r="D120" s="1174">
        <v>21946</v>
      </c>
      <c r="E120" s="1175">
        <v>5762</v>
      </c>
      <c r="F120" s="1172">
        <v>56435</v>
      </c>
    </row>
    <row r="121" spans="1:6">
      <c r="A121" s="1185" t="s">
        <v>480</v>
      </c>
      <c r="B121" s="1177"/>
      <c r="C121" s="1177"/>
      <c r="D121" s="1177"/>
      <c r="E121" s="1171"/>
      <c r="F121" s="1171"/>
    </row>
    <row r="122" spans="1:6" ht="12.75" hidden="1" customHeight="1">
      <c r="A122" s="1173" t="s">
        <v>184</v>
      </c>
      <c r="B122" s="1177">
        <v>278143</v>
      </c>
      <c r="C122" s="1177">
        <v>116793</v>
      </c>
      <c r="D122" s="1177">
        <v>16015</v>
      </c>
      <c r="E122" s="1171">
        <v>153299</v>
      </c>
      <c r="F122" s="1172">
        <v>564250</v>
      </c>
    </row>
    <row r="123" spans="1:6" hidden="1">
      <c r="A123" s="1173" t="s">
        <v>185</v>
      </c>
      <c r="B123" s="1177">
        <v>282820</v>
      </c>
      <c r="C123" s="1177">
        <v>113766</v>
      </c>
      <c r="D123" s="1177">
        <v>32730</v>
      </c>
      <c r="E123" s="1171">
        <v>43344</v>
      </c>
      <c r="F123" s="1172">
        <v>472660</v>
      </c>
    </row>
    <row r="124" spans="1:6" hidden="1">
      <c r="A124" s="1173" t="s">
        <v>186</v>
      </c>
      <c r="B124" s="1177">
        <v>265357</v>
      </c>
      <c r="C124" s="1177">
        <v>117706</v>
      </c>
      <c r="D124" s="1177">
        <v>18545</v>
      </c>
      <c r="E124" s="1171">
        <v>13619</v>
      </c>
      <c r="F124" s="1172">
        <v>415227</v>
      </c>
    </row>
    <row r="125" spans="1:6" hidden="1">
      <c r="A125" s="1173" t="s">
        <v>189</v>
      </c>
      <c r="B125" s="1177">
        <v>215103</v>
      </c>
      <c r="C125" s="1177">
        <v>126198</v>
      </c>
      <c r="D125" s="1177">
        <v>12301</v>
      </c>
      <c r="E125" s="1171">
        <v>20779</v>
      </c>
      <c r="F125" s="1172">
        <v>374381</v>
      </c>
    </row>
    <row r="126" spans="1:6" hidden="1">
      <c r="A126" s="1173" t="s">
        <v>191</v>
      </c>
      <c r="B126" s="1177">
        <v>233179</v>
      </c>
      <c r="C126" s="1177">
        <v>121664</v>
      </c>
      <c r="D126" s="1177">
        <v>15656</v>
      </c>
      <c r="E126" s="1171">
        <v>12557</v>
      </c>
      <c r="F126" s="1172">
        <v>383056</v>
      </c>
    </row>
    <row r="127" spans="1:6" hidden="1">
      <c r="A127" s="1173" t="s">
        <v>194</v>
      </c>
      <c r="B127" s="1177">
        <v>291084</v>
      </c>
      <c r="C127" s="1177">
        <v>117563</v>
      </c>
      <c r="D127" s="1177">
        <v>14045</v>
      </c>
      <c r="E127" s="1171">
        <v>16573</v>
      </c>
      <c r="F127" s="1172">
        <v>439265</v>
      </c>
    </row>
    <row r="128" spans="1:6" hidden="1">
      <c r="A128" s="1173" t="s">
        <v>196</v>
      </c>
      <c r="B128" s="1177">
        <v>291331</v>
      </c>
      <c r="C128" s="1177">
        <v>100149</v>
      </c>
      <c r="D128" s="1177">
        <v>19253</v>
      </c>
      <c r="E128" s="1171">
        <v>23858</v>
      </c>
      <c r="F128" s="1172">
        <v>434591</v>
      </c>
    </row>
    <row r="129" spans="1:6" hidden="1">
      <c r="A129" s="1173" t="s">
        <v>197</v>
      </c>
      <c r="B129" s="1177">
        <v>297192</v>
      </c>
      <c r="C129" s="1177">
        <v>84472</v>
      </c>
      <c r="D129" s="1177">
        <v>15936</v>
      </c>
      <c r="E129" s="1171">
        <v>32401</v>
      </c>
      <c r="F129" s="1172">
        <v>430001</v>
      </c>
    </row>
    <row r="130" spans="1:6" ht="12" hidden="1" customHeight="1">
      <c r="A130" s="1166" t="s">
        <v>198</v>
      </c>
      <c r="B130" s="1170">
        <v>373339</v>
      </c>
      <c r="C130" s="1170">
        <v>119778</v>
      </c>
      <c r="D130" s="1170">
        <v>14126</v>
      </c>
      <c r="E130" s="1171">
        <v>71446</v>
      </c>
      <c r="F130" s="1172">
        <v>578689</v>
      </c>
    </row>
    <row r="131" spans="1:6" hidden="1">
      <c r="A131" s="1166" t="s">
        <v>199</v>
      </c>
      <c r="B131" s="1170">
        <v>262443</v>
      </c>
      <c r="C131" s="1170">
        <v>85699</v>
      </c>
      <c r="D131" s="1170">
        <v>11222</v>
      </c>
      <c r="E131" s="1171">
        <v>71105</v>
      </c>
      <c r="F131" s="1172">
        <v>430469</v>
      </c>
    </row>
    <row r="132" spans="1:6" ht="12.75" customHeight="1">
      <c r="A132" s="1166" t="s">
        <v>200</v>
      </c>
      <c r="B132" s="1170">
        <v>263107</v>
      </c>
      <c r="C132" s="1170">
        <v>63557</v>
      </c>
      <c r="D132" s="1170">
        <v>11795</v>
      </c>
      <c r="E132" s="1171">
        <v>92272</v>
      </c>
      <c r="F132" s="1172">
        <v>430731</v>
      </c>
    </row>
    <row r="133" spans="1:6" ht="12.75" hidden="1" customHeight="1">
      <c r="A133" s="1166" t="s">
        <v>201</v>
      </c>
      <c r="B133" s="1170">
        <v>257826</v>
      </c>
      <c r="C133" s="1170">
        <v>69948</v>
      </c>
      <c r="D133" s="1170">
        <v>13443</v>
      </c>
      <c r="E133" s="1171">
        <v>82856</v>
      </c>
      <c r="F133" s="1172">
        <v>424073</v>
      </c>
    </row>
    <row r="134" spans="1:6" ht="12.75" hidden="1" customHeight="1">
      <c r="A134" s="1166" t="s">
        <v>202</v>
      </c>
      <c r="B134" s="1170">
        <v>222224</v>
      </c>
      <c r="C134" s="1170">
        <v>50887</v>
      </c>
      <c r="D134" s="1170">
        <v>10554</v>
      </c>
      <c r="E134" s="1171">
        <v>67846</v>
      </c>
      <c r="F134" s="1172">
        <v>351511</v>
      </c>
    </row>
    <row r="135" spans="1:6" hidden="1">
      <c r="A135" s="1166" t="s">
        <v>203</v>
      </c>
      <c r="B135" s="1170">
        <v>221535</v>
      </c>
      <c r="C135" s="1170">
        <v>80569</v>
      </c>
      <c r="D135" s="1170">
        <v>6556</v>
      </c>
      <c r="E135" s="1171">
        <v>33347</v>
      </c>
      <c r="F135" s="1172">
        <v>342007</v>
      </c>
    </row>
    <row r="136" spans="1:6" hidden="1">
      <c r="A136" s="1166" t="s">
        <v>204</v>
      </c>
      <c r="B136" s="1170">
        <v>258884</v>
      </c>
      <c r="C136" s="1170">
        <v>105993</v>
      </c>
      <c r="D136" s="1170">
        <v>1911</v>
      </c>
      <c r="E136" s="1171">
        <v>32431</v>
      </c>
      <c r="F136" s="1172">
        <v>399219</v>
      </c>
    </row>
    <row r="137" spans="1:6" hidden="1">
      <c r="A137" s="1166" t="s">
        <v>205</v>
      </c>
      <c r="B137" s="1170">
        <v>189505</v>
      </c>
      <c r="C137" s="1170">
        <v>53214</v>
      </c>
      <c r="D137" s="1170">
        <v>1121</v>
      </c>
      <c r="E137" s="1171">
        <v>29606</v>
      </c>
      <c r="F137" s="1172">
        <v>273446</v>
      </c>
    </row>
    <row r="138" spans="1:6" hidden="1">
      <c r="A138" s="1166" t="s">
        <v>206</v>
      </c>
      <c r="B138" s="1170">
        <v>197796</v>
      </c>
      <c r="C138" s="1170">
        <v>44266</v>
      </c>
      <c r="D138" s="1170">
        <v>2942</v>
      </c>
      <c r="E138" s="1171">
        <v>32772</v>
      </c>
      <c r="F138" s="1172">
        <v>277776</v>
      </c>
    </row>
    <row r="139" spans="1:6" hidden="1">
      <c r="A139" s="1166" t="s">
        <v>475</v>
      </c>
      <c r="B139" s="1170">
        <v>166571</v>
      </c>
      <c r="C139" s="1170">
        <v>48981</v>
      </c>
      <c r="D139" s="1170">
        <v>9259</v>
      </c>
      <c r="E139" s="1171">
        <v>29689</v>
      </c>
      <c r="F139" s="1172">
        <v>254500</v>
      </c>
    </row>
    <row r="140" spans="1:6" hidden="1">
      <c r="A140" s="1166" t="s">
        <v>207</v>
      </c>
      <c r="B140" s="1174">
        <v>177738</v>
      </c>
      <c r="C140" s="1174">
        <v>73276</v>
      </c>
      <c r="D140" s="1183" t="s">
        <v>134</v>
      </c>
      <c r="E140" s="1186" t="s">
        <v>134</v>
      </c>
      <c r="F140" s="1172">
        <v>294411</v>
      </c>
    </row>
    <row r="141" spans="1:6">
      <c r="A141" s="1166" t="s">
        <v>208</v>
      </c>
      <c r="B141" s="1174">
        <v>166011</v>
      </c>
      <c r="C141" s="1174">
        <v>85691</v>
      </c>
      <c r="D141" s="1183" t="s">
        <v>134</v>
      </c>
      <c r="E141" s="1186" t="s">
        <v>134</v>
      </c>
      <c r="F141" s="1172">
        <v>303570</v>
      </c>
    </row>
    <row r="142" spans="1:6">
      <c r="A142" s="1166" t="s">
        <v>2</v>
      </c>
      <c r="B142" s="1174">
        <v>137232</v>
      </c>
      <c r="C142" s="1174">
        <v>78126</v>
      </c>
      <c r="D142" s="1183" t="s">
        <v>134</v>
      </c>
      <c r="E142" s="1186" t="s">
        <v>134</v>
      </c>
      <c r="F142" s="1172">
        <v>267476</v>
      </c>
    </row>
    <row r="143" spans="1:6">
      <c r="A143" s="1166" t="s">
        <v>1</v>
      </c>
      <c r="B143" s="1174">
        <v>146773</v>
      </c>
      <c r="C143" s="1174">
        <v>81001</v>
      </c>
      <c r="D143" s="1183" t="s">
        <v>134</v>
      </c>
      <c r="E143" s="1186" t="s">
        <v>134</v>
      </c>
      <c r="F143" s="1172">
        <v>294081</v>
      </c>
    </row>
    <row r="144" spans="1:6">
      <c r="A144" s="1176" t="s">
        <v>481</v>
      </c>
      <c r="B144" s="1179"/>
      <c r="C144" s="1187"/>
      <c r="D144" s="1179"/>
      <c r="E144" s="1179"/>
      <c r="F144" s="1188"/>
    </row>
    <row r="145" spans="1:6" hidden="1">
      <c r="A145" s="1173" t="s">
        <v>184</v>
      </c>
      <c r="B145" s="1181"/>
      <c r="C145" s="1181"/>
      <c r="D145" s="1181"/>
      <c r="E145" s="1182"/>
      <c r="F145" s="1172">
        <v>46891</v>
      </c>
    </row>
    <row r="146" spans="1:6" hidden="1">
      <c r="A146" s="1173" t="s">
        <v>185</v>
      </c>
      <c r="B146" s="1181"/>
      <c r="C146" s="1181"/>
      <c r="D146" s="1181"/>
      <c r="E146" s="1182"/>
      <c r="F146" s="1172">
        <v>48724</v>
      </c>
    </row>
    <row r="147" spans="1:6" hidden="1">
      <c r="A147" s="1173" t="s">
        <v>186</v>
      </c>
      <c r="B147" s="1181"/>
      <c r="C147" s="1181"/>
      <c r="D147" s="1181"/>
      <c r="E147" s="1182"/>
      <c r="F147" s="1172">
        <v>54284</v>
      </c>
    </row>
    <row r="148" spans="1:6" hidden="1">
      <c r="A148" s="1173" t="s">
        <v>189</v>
      </c>
      <c r="B148" s="1181"/>
      <c r="C148" s="1181"/>
      <c r="D148" s="1181"/>
      <c r="E148" s="1182"/>
      <c r="F148" s="1172">
        <v>65051</v>
      </c>
    </row>
    <row r="149" spans="1:6" hidden="1">
      <c r="A149" s="1173" t="s">
        <v>191</v>
      </c>
      <c r="B149" s="1181"/>
      <c r="C149" s="1181"/>
      <c r="D149" s="1181"/>
      <c r="E149" s="1182"/>
      <c r="F149" s="1172">
        <v>56056</v>
      </c>
    </row>
    <row r="150" spans="1:6" hidden="1">
      <c r="A150" s="1173" t="s">
        <v>194</v>
      </c>
      <c r="B150" s="1181"/>
      <c r="C150" s="1181"/>
      <c r="D150" s="1181"/>
      <c r="E150" s="1182"/>
      <c r="F150" s="1172">
        <v>56346</v>
      </c>
    </row>
    <row r="151" spans="1:6" hidden="1">
      <c r="A151" s="1173" t="s">
        <v>196</v>
      </c>
      <c r="B151" s="1181"/>
      <c r="C151" s="1181"/>
      <c r="D151" s="1181"/>
      <c r="E151" s="1182"/>
      <c r="F151" s="1172">
        <v>58056</v>
      </c>
    </row>
    <row r="152" spans="1:6" hidden="1">
      <c r="A152" s="1173" t="s">
        <v>197</v>
      </c>
      <c r="B152" s="1181"/>
      <c r="C152" s="1181"/>
      <c r="D152" s="1181"/>
      <c r="E152" s="1182"/>
      <c r="F152" s="1172">
        <v>66107</v>
      </c>
    </row>
    <row r="153" spans="1:6" ht="12" hidden="1" customHeight="1">
      <c r="A153" s="1166" t="s">
        <v>198</v>
      </c>
      <c r="B153" s="1170">
        <v>34306</v>
      </c>
      <c r="C153" s="1170">
        <v>12700</v>
      </c>
      <c r="D153" s="1170">
        <v>16297</v>
      </c>
      <c r="E153" s="1171">
        <v>12077</v>
      </c>
      <c r="F153" s="1172">
        <v>75380</v>
      </c>
    </row>
    <row r="154" spans="1:6" hidden="1">
      <c r="A154" s="1166" t="s">
        <v>199</v>
      </c>
      <c r="B154" s="1170">
        <v>34552</v>
      </c>
      <c r="C154" s="1170">
        <v>13781</v>
      </c>
      <c r="D154" s="1170">
        <v>15317</v>
      </c>
      <c r="E154" s="1171">
        <v>12649</v>
      </c>
      <c r="F154" s="1172">
        <v>76299</v>
      </c>
    </row>
    <row r="155" spans="1:6">
      <c r="A155" s="1166" t="s">
        <v>200</v>
      </c>
      <c r="B155" s="1170">
        <v>37005</v>
      </c>
      <c r="C155" s="1170">
        <v>12726</v>
      </c>
      <c r="D155" s="1170">
        <v>19592</v>
      </c>
      <c r="E155" s="1171">
        <v>9734</v>
      </c>
      <c r="F155" s="1172">
        <v>79057</v>
      </c>
    </row>
    <row r="156" spans="1:6" hidden="1">
      <c r="A156" s="1166" t="s">
        <v>201</v>
      </c>
      <c r="B156" s="1170">
        <v>39466</v>
      </c>
      <c r="C156" s="1170">
        <v>12279</v>
      </c>
      <c r="D156" s="1170">
        <v>15321</v>
      </c>
      <c r="E156" s="1171">
        <v>9859</v>
      </c>
      <c r="F156" s="1172">
        <v>76925</v>
      </c>
    </row>
    <row r="157" spans="1:6" hidden="1">
      <c r="A157" s="1166" t="s">
        <v>202</v>
      </c>
      <c r="B157" s="1170">
        <v>40906</v>
      </c>
      <c r="C157" s="1170">
        <v>10992</v>
      </c>
      <c r="D157" s="1170">
        <v>17506</v>
      </c>
      <c r="E157" s="1171">
        <v>9200</v>
      </c>
      <c r="F157" s="1172">
        <v>78604</v>
      </c>
    </row>
    <row r="158" spans="1:6" hidden="1">
      <c r="A158" s="1166" t="s">
        <v>203</v>
      </c>
      <c r="B158" s="1170">
        <v>45140</v>
      </c>
      <c r="C158" s="1170">
        <v>9497</v>
      </c>
      <c r="D158" s="1170">
        <v>24862</v>
      </c>
      <c r="E158" s="1171">
        <v>7222</v>
      </c>
      <c r="F158" s="1172">
        <v>86721</v>
      </c>
    </row>
    <row r="159" spans="1:6" hidden="1">
      <c r="A159" s="1166" t="s">
        <v>204</v>
      </c>
      <c r="B159" s="1170">
        <v>48780</v>
      </c>
      <c r="C159" s="1170">
        <v>9583</v>
      </c>
      <c r="D159" s="1170">
        <v>21677</v>
      </c>
      <c r="E159" s="1171">
        <v>6061</v>
      </c>
      <c r="F159" s="1172">
        <v>86101</v>
      </c>
    </row>
    <row r="160" spans="1:6" hidden="1">
      <c r="A160" s="1166" t="s">
        <v>205</v>
      </c>
      <c r="B160" s="1170">
        <v>57854</v>
      </c>
      <c r="C160" s="1170">
        <v>9994</v>
      </c>
      <c r="D160" s="1170">
        <v>23815</v>
      </c>
      <c r="E160" s="1171">
        <v>7002</v>
      </c>
      <c r="F160" s="1172">
        <v>98665</v>
      </c>
    </row>
    <row r="161" spans="1:6" hidden="1">
      <c r="A161" s="1166" t="s">
        <v>206</v>
      </c>
      <c r="B161" s="1170">
        <v>73628</v>
      </c>
      <c r="C161" s="1170">
        <v>11914</v>
      </c>
      <c r="D161" s="1170">
        <v>24496</v>
      </c>
      <c r="E161" s="1171">
        <v>8427</v>
      </c>
      <c r="F161" s="1172">
        <v>118465</v>
      </c>
    </row>
    <row r="162" spans="1:6" hidden="1">
      <c r="A162" s="1166" t="s">
        <v>475</v>
      </c>
      <c r="B162" s="1170">
        <v>61579</v>
      </c>
      <c r="C162" s="1170">
        <v>14216</v>
      </c>
      <c r="D162" s="1170">
        <v>24921</v>
      </c>
      <c r="E162" s="1171">
        <v>9848</v>
      </c>
      <c r="F162" s="1172">
        <v>110564</v>
      </c>
    </row>
    <row r="163" spans="1:6" hidden="1">
      <c r="A163" s="1166" t="s">
        <v>207</v>
      </c>
      <c r="B163" s="1174">
        <v>63421</v>
      </c>
      <c r="C163" s="1174">
        <v>19418</v>
      </c>
      <c r="D163" s="1174">
        <v>23380</v>
      </c>
      <c r="E163" s="1175">
        <v>7060</v>
      </c>
      <c r="F163" s="1172">
        <v>113279</v>
      </c>
    </row>
    <row r="164" spans="1:6">
      <c r="A164" s="1166" t="s">
        <v>208</v>
      </c>
      <c r="B164" s="1174">
        <v>64767</v>
      </c>
      <c r="C164" s="1174">
        <v>12195</v>
      </c>
      <c r="D164" s="1174">
        <v>31658</v>
      </c>
      <c r="E164" s="1175">
        <v>5366</v>
      </c>
      <c r="F164" s="1172">
        <v>113986</v>
      </c>
    </row>
    <row r="165" spans="1:6">
      <c r="A165" s="1166" t="s">
        <v>2</v>
      </c>
      <c r="B165" s="1174">
        <v>57154</v>
      </c>
      <c r="C165" s="1174">
        <v>13196</v>
      </c>
      <c r="D165" s="1174">
        <v>32358</v>
      </c>
      <c r="E165" s="1175">
        <v>5770</v>
      </c>
      <c r="F165" s="1172">
        <v>108478</v>
      </c>
    </row>
    <row r="166" spans="1:6">
      <c r="A166" s="1166" t="s">
        <v>1</v>
      </c>
      <c r="B166" s="1174">
        <v>65316</v>
      </c>
      <c r="C166" s="1174">
        <v>18644</v>
      </c>
      <c r="D166" s="1174">
        <v>27122</v>
      </c>
      <c r="E166" s="1175">
        <v>12258</v>
      </c>
      <c r="F166" s="1172">
        <v>123340</v>
      </c>
    </row>
    <row r="167" spans="1:6">
      <c r="A167" s="1176" t="s">
        <v>482</v>
      </c>
      <c r="B167" s="1177"/>
      <c r="C167" s="1177"/>
      <c r="D167" s="1177"/>
      <c r="E167" s="1171"/>
      <c r="F167" s="1171"/>
    </row>
    <row r="168" spans="1:6" hidden="1">
      <c r="A168" s="1173" t="s">
        <v>184</v>
      </c>
      <c r="B168" s="1177">
        <v>2361</v>
      </c>
      <c r="C168" s="1177">
        <v>3283</v>
      </c>
      <c r="D168" s="1177">
        <v>1795</v>
      </c>
      <c r="E168" s="1171">
        <v>441</v>
      </c>
      <c r="F168" s="1172">
        <v>7880</v>
      </c>
    </row>
    <row r="169" spans="1:6" hidden="1">
      <c r="A169" s="1173" t="s">
        <v>185</v>
      </c>
      <c r="B169" s="1177">
        <v>2284</v>
      </c>
      <c r="C169" s="1177">
        <v>2656</v>
      </c>
      <c r="D169" s="1177">
        <v>1885</v>
      </c>
      <c r="E169" s="1171">
        <v>775</v>
      </c>
      <c r="F169" s="1172">
        <v>7600</v>
      </c>
    </row>
    <row r="170" spans="1:6" hidden="1">
      <c r="A170" s="1173" t="s">
        <v>186</v>
      </c>
      <c r="B170" s="1177">
        <v>2421</v>
      </c>
      <c r="C170" s="1177">
        <v>3403</v>
      </c>
      <c r="D170" s="1177">
        <v>2307</v>
      </c>
      <c r="E170" s="1171">
        <v>755</v>
      </c>
      <c r="F170" s="1172">
        <v>8886</v>
      </c>
    </row>
    <row r="171" spans="1:6" hidden="1">
      <c r="A171" s="1173" t="s">
        <v>189</v>
      </c>
      <c r="B171" s="1177">
        <v>2110</v>
      </c>
      <c r="C171" s="1177">
        <v>3058</v>
      </c>
      <c r="D171" s="1177">
        <v>1578</v>
      </c>
      <c r="E171" s="1171">
        <v>1194</v>
      </c>
      <c r="F171" s="1172">
        <v>7940</v>
      </c>
    </row>
    <row r="172" spans="1:6" hidden="1">
      <c r="A172" s="1173" t="s">
        <v>191</v>
      </c>
      <c r="B172" s="1177">
        <v>1359</v>
      </c>
      <c r="C172" s="1177">
        <v>3847</v>
      </c>
      <c r="D172" s="1177">
        <v>1772</v>
      </c>
      <c r="E172" s="1171">
        <v>1480</v>
      </c>
      <c r="F172" s="1172">
        <v>8458</v>
      </c>
    </row>
    <row r="173" spans="1:6" hidden="1">
      <c r="A173" s="1173" t="s">
        <v>194</v>
      </c>
      <c r="B173" s="1177">
        <v>1563</v>
      </c>
      <c r="C173" s="1177">
        <v>8041</v>
      </c>
      <c r="D173" s="1177">
        <v>1539</v>
      </c>
      <c r="E173" s="1171">
        <v>1659</v>
      </c>
      <c r="F173" s="1172">
        <v>12802</v>
      </c>
    </row>
    <row r="174" spans="1:6" hidden="1">
      <c r="A174" s="1173" t="s">
        <v>196</v>
      </c>
      <c r="B174" s="1177">
        <v>1706</v>
      </c>
      <c r="C174" s="1177">
        <v>9406</v>
      </c>
      <c r="D174" s="1177">
        <v>1051</v>
      </c>
      <c r="E174" s="1171">
        <v>1403</v>
      </c>
      <c r="F174" s="1172">
        <v>13566</v>
      </c>
    </row>
    <row r="175" spans="1:6" hidden="1">
      <c r="A175" s="1173" t="s">
        <v>197</v>
      </c>
      <c r="B175" s="1177">
        <v>1980</v>
      </c>
      <c r="C175" s="1177">
        <v>9849</v>
      </c>
      <c r="D175" s="1177">
        <v>826</v>
      </c>
      <c r="E175" s="1171">
        <v>1591</v>
      </c>
      <c r="F175" s="1172">
        <v>14246</v>
      </c>
    </row>
    <row r="176" spans="1:6" ht="12.75" hidden="1" customHeight="1">
      <c r="A176" s="1166" t="s">
        <v>198</v>
      </c>
      <c r="B176" s="1170">
        <v>1819</v>
      </c>
      <c r="C176" s="1170">
        <v>8210</v>
      </c>
      <c r="D176" s="1170">
        <v>5819</v>
      </c>
      <c r="E176" s="1171">
        <v>1634</v>
      </c>
      <c r="F176" s="1172">
        <v>17482</v>
      </c>
    </row>
    <row r="177" spans="1:6" hidden="1">
      <c r="A177" s="1166" t="s">
        <v>199</v>
      </c>
      <c r="B177" s="1170">
        <v>1719</v>
      </c>
      <c r="C177" s="1170">
        <v>5488</v>
      </c>
      <c r="D177" s="1170">
        <v>13753</v>
      </c>
      <c r="E177" s="1171">
        <v>1665</v>
      </c>
      <c r="F177" s="1172">
        <v>22625</v>
      </c>
    </row>
    <row r="178" spans="1:6">
      <c r="A178" s="1166" t="s">
        <v>200</v>
      </c>
      <c r="B178" s="1170">
        <v>2155</v>
      </c>
      <c r="C178" s="1170">
        <v>8811</v>
      </c>
      <c r="D178" s="1170">
        <v>20422</v>
      </c>
      <c r="E178" s="1171">
        <v>1969</v>
      </c>
      <c r="F178" s="1172">
        <v>33357</v>
      </c>
    </row>
    <row r="179" spans="1:6" hidden="1">
      <c r="A179" s="1166" t="s">
        <v>201</v>
      </c>
      <c r="B179" s="1170">
        <v>2294</v>
      </c>
      <c r="C179" s="1170">
        <v>8534</v>
      </c>
      <c r="D179" s="1170">
        <v>37511</v>
      </c>
      <c r="E179" s="1171">
        <v>2255</v>
      </c>
      <c r="F179" s="1172">
        <v>50594</v>
      </c>
    </row>
    <row r="180" spans="1:6" hidden="1">
      <c r="A180" s="1166" t="s">
        <v>202</v>
      </c>
      <c r="B180" s="1170">
        <v>2514</v>
      </c>
      <c r="C180" s="1170">
        <v>10699</v>
      </c>
      <c r="D180" s="1170">
        <v>29770</v>
      </c>
      <c r="E180" s="1171">
        <v>4588</v>
      </c>
      <c r="F180" s="1172">
        <v>47571</v>
      </c>
    </row>
    <row r="181" spans="1:6" hidden="1">
      <c r="A181" s="1166" t="s">
        <v>203</v>
      </c>
      <c r="B181" s="1170">
        <v>2078</v>
      </c>
      <c r="C181" s="1170">
        <v>10950</v>
      </c>
      <c r="D181" s="1170">
        <v>1951</v>
      </c>
      <c r="E181" s="1171">
        <v>9210</v>
      </c>
      <c r="F181" s="1172">
        <v>24189</v>
      </c>
    </row>
    <row r="182" spans="1:6" hidden="1">
      <c r="A182" s="1166" t="s">
        <v>204</v>
      </c>
      <c r="B182" s="1170">
        <v>2461</v>
      </c>
      <c r="C182" s="1170">
        <v>8347</v>
      </c>
      <c r="D182" s="1170">
        <v>1499</v>
      </c>
      <c r="E182" s="1171">
        <v>11281</v>
      </c>
      <c r="F182" s="1172">
        <v>23588</v>
      </c>
    </row>
    <row r="183" spans="1:6" hidden="1">
      <c r="A183" s="1166" t="s">
        <v>205</v>
      </c>
      <c r="B183" s="1170">
        <v>1802</v>
      </c>
      <c r="C183" s="1170">
        <v>8940</v>
      </c>
      <c r="D183" s="1170">
        <v>2284</v>
      </c>
      <c r="E183" s="1171">
        <v>14068</v>
      </c>
      <c r="F183" s="1172">
        <v>27094</v>
      </c>
    </row>
    <row r="184" spans="1:6" hidden="1">
      <c r="A184" s="1166" t="s">
        <v>206</v>
      </c>
      <c r="B184" s="1170">
        <v>1983</v>
      </c>
      <c r="C184" s="1170">
        <v>3481</v>
      </c>
      <c r="D184" s="1170">
        <v>3234</v>
      </c>
      <c r="E184" s="1171">
        <v>11498</v>
      </c>
      <c r="F184" s="1172">
        <v>20196</v>
      </c>
    </row>
    <row r="185" spans="1:6" hidden="1">
      <c r="A185" s="1166" t="s">
        <v>475</v>
      </c>
      <c r="B185" s="1170">
        <v>1662</v>
      </c>
      <c r="C185" s="1170">
        <v>2350</v>
      </c>
      <c r="D185" s="1170">
        <v>4020</v>
      </c>
      <c r="E185" s="1171">
        <v>10610</v>
      </c>
      <c r="F185" s="1172">
        <v>18642</v>
      </c>
    </row>
    <row r="186" spans="1:6" hidden="1">
      <c r="A186" s="1166" t="s">
        <v>207</v>
      </c>
      <c r="B186" s="1174">
        <v>2256</v>
      </c>
      <c r="C186" s="1174">
        <v>3410</v>
      </c>
      <c r="D186" s="1183" t="s">
        <v>134</v>
      </c>
      <c r="E186" s="1186" t="s">
        <v>134</v>
      </c>
      <c r="F186" s="1172">
        <v>21767</v>
      </c>
    </row>
    <row r="187" spans="1:6">
      <c r="A187" s="1166" t="s">
        <v>208</v>
      </c>
      <c r="B187" s="1183" t="s">
        <v>134</v>
      </c>
      <c r="C187" s="1183" t="s">
        <v>134</v>
      </c>
      <c r="D187" s="1183" t="s">
        <v>134</v>
      </c>
      <c r="E187" s="1186" t="s">
        <v>134</v>
      </c>
      <c r="F187" s="1172">
        <v>21334</v>
      </c>
    </row>
    <row r="188" spans="1:6">
      <c r="A188" s="1166" t="s">
        <v>2</v>
      </c>
      <c r="B188" s="1183" t="s">
        <v>134</v>
      </c>
      <c r="C188" s="1183" t="s">
        <v>134</v>
      </c>
      <c r="D188" s="1183" t="s">
        <v>134</v>
      </c>
      <c r="E188" s="1186" t="s">
        <v>134</v>
      </c>
      <c r="F188" s="1172">
        <v>25315</v>
      </c>
    </row>
    <row r="189" spans="1:6">
      <c r="A189" s="1166" t="s">
        <v>1</v>
      </c>
      <c r="B189" s="1183" t="s">
        <v>134</v>
      </c>
      <c r="C189" s="1183" t="s">
        <v>134</v>
      </c>
      <c r="D189" s="1183" t="s">
        <v>134</v>
      </c>
      <c r="E189" s="1186" t="s">
        <v>134</v>
      </c>
      <c r="F189" s="1172">
        <v>24485</v>
      </c>
    </row>
    <row r="190" spans="1:6" ht="12" customHeight="1">
      <c r="A190" s="1176" t="s">
        <v>483</v>
      </c>
      <c r="B190" s="1177"/>
      <c r="C190" s="1177"/>
      <c r="D190" s="1177"/>
      <c r="E190" s="1171"/>
      <c r="F190" s="1171"/>
    </row>
    <row r="191" spans="1:6" ht="12.75" hidden="1" customHeight="1">
      <c r="A191" s="1173" t="s">
        <v>184</v>
      </c>
      <c r="B191" s="1177">
        <v>12918</v>
      </c>
      <c r="C191" s="1189">
        <v>10552</v>
      </c>
      <c r="D191" s="1177">
        <v>27192</v>
      </c>
      <c r="E191" s="1171">
        <v>6102</v>
      </c>
      <c r="F191" s="1172">
        <v>56764</v>
      </c>
    </row>
    <row r="192" spans="1:6" hidden="1">
      <c r="A192" s="1173" t="s">
        <v>185</v>
      </c>
      <c r="B192" s="1177">
        <v>15051</v>
      </c>
      <c r="C192" s="1189">
        <v>11619</v>
      </c>
      <c r="D192" s="1177">
        <v>27064</v>
      </c>
      <c r="E192" s="1171">
        <v>1588</v>
      </c>
      <c r="F192" s="1172">
        <v>55322</v>
      </c>
    </row>
    <row r="193" spans="1:6" hidden="1">
      <c r="A193" s="1173" t="s">
        <v>186</v>
      </c>
      <c r="B193" s="1177">
        <v>17045</v>
      </c>
      <c r="C193" s="1189">
        <v>10708</v>
      </c>
      <c r="D193" s="1177">
        <v>25651</v>
      </c>
      <c r="E193" s="1171">
        <v>1693</v>
      </c>
      <c r="F193" s="1172">
        <v>55097</v>
      </c>
    </row>
    <row r="194" spans="1:6" hidden="1">
      <c r="A194" s="1173" t="s">
        <v>189</v>
      </c>
      <c r="B194" s="1177">
        <v>13352</v>
      </c>
      <c r="C194" s="1189">
        <v>8435</v>
      </c>
      <c r="D194" s="1177">
        <v>25304</v>
      </c>
      <c r="E194" s="1171">
        <v>2063</v>
      </c>
      <c r="F194" s="1172">
        <v>49154</v>
      </c>
    </row>
    <row r="195" spans="1:6" hidden="1">
      <c r="A195" s="1173" t="s">
        <v>191</v>
      </c>
      <c r="B195" s="1177">
        <v>13024</v>
      </c>
      <c r="C195" s="1189">
        <v>6544</v>
      </c>
      <c r="D195" s="1177">
        <v>15807</v>
      </c>
      <c r="E195" s="1171">
        <v>1925</v>
      </c>
      <c r="F195" s="1172">
        <v>37300</v>
      </c>
    </row>
    <row r="196" spans="1:6" hidden="1">
      <c r="A196" s="1173" t="s">
        <v>194</v>
      </c>
      <c r="B196" s="1177">
        <v>14142</v>
      </c>
      <c r="C196" s="1189">
        <v>6396</v>
      </c>
      <c r="D196" s="1177">
        <v>16030</v>
      </c>
      <c r="E196" s="1171">
        <v>2358</v>
      </c>
      <c r="F196" s="1172">
        <v>38926</v>
      </c>
    </row>
    <row r="197" spans="1:6" hidden="1">
      <c r="A197" s="1173" t="s">
        <v>196</v>
      </c>
      <c r="B197" s="1177">
        <v>13034</v>
      </c>
      <c r="C197" s="1189">
        <v>7494</v>
      </c>
      <c r="D197" s="1177">
        <v>16178</v>
      </c>
      <c r="E197" s="1171">
        <v>2473</v>
      </c>
      <c r="F197" s="1172">
        <v>39179</v>
      </c>
    </row>
    <row r="198" spans="1:6" hidden="1">
      <c r="A198" s="1173" t="s">
        <v>197</v>
      </c>
      <c r="B198" s="1177">
        <v>9114</v>
      </c>
      <c r="C198" s="1189">
        <v>11323</v>
      </c>
      <c r="D198" s="1177">
        <v>16017</v>
      </c>
      <c r="E198" s="1171">
        <v>2557</v>
      </c>
      <c r="F198" s="1172">
        <v>39011</v>
      </c>
    </row>
    <row r="199" spans="1:6" hidden="1">
      <c r="A199" s="1166" t="s">
        <v>198</v>
      </c>
      <c r="B199" s="1170">
        <v>9839</v>
      </c>
      <c r="C199" s="1189">
        <v>8473</v>
      </c>
      <c r="D199" s="1170">
        <v>17557</v>
      </c>
      <c r="E199" s="1171">
        <v>1738</v>
      </c>
      <c r="F199" s="1172">
        <v>37607</v>
      </c>
    </row>
    <row r="200" spans="1:6" hidden="1">
      <c r="A200" s="1166" t="s">
        <v>199</v>
      </c>
      <c r="B200" s="1170">
        <v>21816</v>
      </c>
      <c r="C200" s="1189">
        <v>9575</v>
      </c>
      <c r="D200" s="1170">
        <v>19249</v>
      </c>
      <c r="E200" s="1171">
        <v>2190</v>
      </c>
      <c r="F200" s="1172">
        <v>52830</v>
      </c>
    </row>
    <row r="201" spans="1:6">
      <c r="A201" s="1166" t="s">
        <v>200</v>
      </c>
      <c r="B201" s="1170">
        <v>11962</v>
      </c>
      <c r="C201" s="1189">
        <v>8450</v>
      </c>
      <c r="D201" s="1170">
        <v>20168</v>
      </c>
      <c r="E201" s="1171">
        <v>4747</v>
      </c>
      <c r="F201" s="1172">
        <v>45327</v>
      </c>
    </row>
    <row r="202" spans="1:6" ht="12" hidden="1" customHeight="1">
      <c r="A202" s="1166" t="s">
        <v>201</v>
      </c>
      <c r="B202" s="1170">
        <v>12527</v>
      </c>
      <c r="C202" s="1189">
        <v>9458</v>
      </c>
      <c r="D202" s="1170">
        <v>20882</v>
      </c>
      <c r="E202" s="1171">
        <v>7352</v>
      </c>
      <c r="F202" s="1172">
        <v>50219</v>
      </c>
    </row>
    <row r="203" spans="1:6" hidden="1">
      <c r="A203" s="1166" t="s">
        <v>202</v>
      </c>
      <c r="B203" s="1170">
        <v>13339</v>
      </c>
      <c r="C203" s="1189">
        <v>7601</v>
      </c>
      <c r="D203" s="1170">
        <v>19575</v>
      </c>
      <c r="E203" s="1171">
        <v>10767</v>
      </c>
      <c r="F203" s="1172">
        <v>51282</v>
      </c>
    </row>
    <row r="204" spans="1:6" hidden="1">
      <c r="A204" s="1166" t="s">
        <v>203</v>
      </c>
      <c r="B204" s="1170">
        <v>13495</v>
      </c>
      <c r="C204" s="1189">
        <v>6797</v>
      </c>
      <c r="D204" s="1170">
        <v>19722</v>
      </c>
      <c r="E204" s="1171">
        <v>11784</v>
      </c>
      <c r="F204" s="1172">
        <v>51798</v>
      </c>
    </row>
    <row r="205" spans="1:6" hidden="1">
      <c r="A205" s="1166" t="s">
        <v>204</v>
      </c>
      <c r="B205" s="1170">
        <v>15131</v>
      </c>
      <c r="C205" s="1189">
        <v>8647</v>
      </c>
      <c r="D205" s="1170">
        <v>16717</v>
      </c>
      <c r="E205" s="1171">
        <v>3839</v>
      </c>
      <c r="F205" s="1172">
        <v>44334</v>
      </c>
    </row>
    <row r="206" spans="1:6" hidden="1">
      <c r="A206" s="1166" t="s">
        <v>205</v>
      </c>
      <c r="B206" s="1170">
        <v>15852</v>
      </c>
      <c r="C206" s="1189">
        <v>5690</v>
      </c>
      <c r="D206" s="1170">
        <v>14918</v>
      </c>
      <c r="E206" s="1171">
        <v>2242</v>
      </c>
      <c r="F206" s="1172">
        <v>38702</v>
      </c>
    </row>
    <row r="207" spans="1:6" hidden="1">
      <c r="A207" s="1166" t="s">
        <v>206</v>
      </c>
      <c r="B207" s="1170">
        <v>27322</v>
      </c>
      <c r="C207" s="1189">
        <v>6450</v>
      </c>
      <c r="D207" s="1170">
        <v>16270</v>
      </c>
      <c r="E207" s="1171">
        <v>2414</v>
      </c>
      <c r="F207" s="1172">
        <v>52456</v>
      </c>
    </row>
    <row r="208" spans="1:6" hidden="1">
      <c r="A208" s="1166" t="s">
        <v>475</v>
      </c>
      <c r="B208" s="1170">
        <v>17609</v>
      </c>
      <c r="C208" s="1189">
        <v>7386</v>
      </c>
      <c r="D208" s="1170">
        <v>18321</v>
      </c>
      <c r="E208" s="1171">
        <v>8271</v>
      </c>
      <c r="F208" s="1172">
        <v>51587</v>
      </c>
    </row>
    <row r="209" spans="1:6" hidden="1">
      <c r="A209" s="1166" t="s">
        <v>207</v>
      </c>
      <c r="B209" s="1174">
        <v>13716</v>
      </c>
      <c r="C209" s="1184">
        <v>7782</v>
      </c>
      <c r="D209" s="1174">
        <v>18068</v>
      </c>
      <c r="E209" s="1175">
        <v>17935</v>
      </c>
      <c r="F209" s="1172">
        <v>57501</v>
      </c>
    </row>
    <row r="210" spans="1:6">
      <c r="A210" s="1166" t="s">
        <v>208</v>
      </c>
      <c r="B210" s="1174">
        <v>12042</v>
      </c>
      <c r="C210" s="1174">
        <v>11729</v>
      </c>
      <c r="D210" s="1174">
        <v>19580</v>
      </c>
      <c r="E210" s="1175">
        <v>960</v>
      </c>
      <c r="F210" s="1172">
        <v>44311</v>
      </c>
    </row>
    <row r="211" spans="1:6">
      <c r="A211" s="1166" t="s">
        <v>2</v>
      </c>
      <c r="B211" s="1174">
        <v>12208</v>
      </c>
      <c r="C211" s="1174">
        <v>6575</v>
      </c>
      <c r="D211" s="1174">
        <v>18400</v>
      </c>
      <c r="E211" s="1175">
        <v>605</v>
      </c>
      <c r="F211" s="1172">
        <v>37788</v>
      </c>
    </row>
    <row r="212" spans="1:6">
      <c r="A212" s="1166" t="s">
        <v>1</v>
      </c>
      <c r="B212" s="1174">
        <v>12146</v>
      </c>
      <c r="C212" s="1174">
        <v>4488</v>
      </c>
      <c r="D212" s="1174">
        <v>22087</v>
      </c>
      <c r="E212" s="1175">
        <v>697</v>
      </c>
      <c r="F212" s="1172">
        <v>39418</v>
      </c>
    </row>
    <row r="213" spans="1:6">
      <c r="A213" s="1190" t="s">
        <v>484</v>
      </c>
      <c r="B213" s="1191"/>
      <c r="C213" s="1191"/>
      <c r="D213" s="1191"/>
      <c r="E213" s="1191"/>
      <c r="F213" s="1192"/>
    </row>
    <row r="214" spans="1:6" hidden="1">
      <c r="A214" s="1166" t="s">
        <v>198</v>
      </c>
      <c r="B214" s="1170">
        <v>1447761</v>
      </c>
      <c r="C214" s="1170">
        <v>1473339</v>
      </c>
      <c r="D214" s="1170">
        <v>1294509</v>
      </c>
      <c r="E214" s="1170">
        <v>910458</v>
      </c>
      <c r="F214" s="1188">
        <v>5126067</v>
      </c>
    </row>
    <row r="215" spans="1:6" hidden="1">
      <c r="A215" s="1166" t="s">
        <v>199</v>
      </c>
      <c r="B215" s="1170">
        <v>1363180</v>
      </c>
      <c r="C215" s="1170">
        <v>1425162</v>
      </c>
      <c r="D215" s="1170">
        <v>1302424</v>
      </c>
      <c r="E215" s="1170">
        <v>933793</v>
      </c>
      <c r="F215" s="1188">
        <v>5024559</v>
      </c>
    </row>
    <row r="216" spans="1:6">
      <c r="A216" s="1166" t="s">
        <v>200</v>
      </c>
      <c r="B216" s="1170">
        <v>1353547</v>
      </c>
      <c r="C216" s="1170">
        <v>1467033</v>
      </c>
      <c r="D216" s="1170">
        <v>1355350</v>
      </c>
      <c r="E216" s="1170">
        <v>992383</v>
      </c>
      <c r="F216" s="1188">
        <v>5168313</v>
      </c>
    </row>
    <row r="217" spans="1:6" hidden="1">
      <c r="A217" s="1166" t="s">
        <v>201</v>
      </c>
      <c r="B217" s="1170">
        <v>1347103</v>
      </c>
      <c r="C217" s="1170">
        <v>1531232</v>
      </c>
      <c r="D217" s="1170">
        <v>1394483</v>
      </c>
      <c r="E217" s="1170">
        <v>978270</v>
      </c>
      <c r="F217" s="1188">
        <v>5251088</v>
      </c>
    </row>
    <row r="218" spans="1:6" hidden="1">
      <c r="A218" s="1166" t="s">
        <v>202</v>
      </c>
      <c r="B218" s="1170">
        <v>1334685</v>
      </c>
      <c r="C218" s="1170">
        <v>1518514</v>
      </c>
      <c r="D218" s="1170">
        <v>1361096</v>
      </c>
      <c r="E218" s="1170">
        <v>999038</v>
      </c>
      <c r="F218" s="1188">
        <v>5213333</v>
      </c>
    </row>
    <row r="219" spans="1:6" hidden="1">
      <c r="A219" s="1166" t="s">
        <v>203</v>
      </c>
      <c r="B219" s="1170">
        <v>1301339</v>
      </c>
      <c r="C219" s="1170">
        <v>1599936</v>
      </c>
      <c r="D219" s="1170">
        <v>1364518</v>
      </c>
      <c r="E219" s="1170">
        <v>949282</v>
      </c>
      <c r="F219" s="1188">
        <v>5215075</v>
      </c>
    </row>
    <row r="220" spans="1:6" hidden="1">
      <c r="A220" s="1166" t="s">
        <v>204</v>
      </c>
      <c r="B220" s="1170">
        <v>1363541</v>
      </c>
      <c r="C220" s="1170">
        <v>1656843</v>
      </c>
      <c r="D220" s="1170">
        <v>1431574</v>
      </c>
      <c r="E220" s="1170">
        <v>966130</v>
      </c>
      <c r="F220" s="1188">
        <v>5418088</v>
      </c>
    </row>
    <row r="221" spans="1:6" hidden="1">
      <c r="A221" s="1166" t="s">
        <v>205</v>
      </c>
      <c r="B221" s="1170">
        <v>1264272</v>
      </c>
      <c r="C221" s="1170">
        <v>1595251</v>
      </c>
      <c r="D221" s="1170">
        <v>1399577</v>
      </c>
      <c r="E221" s="1170">
        <v>1040336</v>
      </c>
      <c r="F221" s="1188">
        <v>5299436</v>
      </c>
    </row>
    <row r="222" spans="1:6" hidden="1">
      <c r="A222" s="1166" t="s">
        <v>206</v>
      </c>
      <c r="B222" s="1170">
        <v>1285755</v>
      </c>
      <c r="C222" s="1170">
        <v>1612778</v>
      </c>
      <c r="D222" s="1170">
        <v>1454913</v>
      </c>
      <c r="E222" s="1170">
        <v>1080680</v>
      </c>
      <c r="F222" s="1188">
        <v>5434126</v>
      </c>
    </row>
    <row r="223" spans="1:6" hidden="1">
      <c r="A223" s="1166" t="s">
        <v>475</v>
      </c>
      <c r="B223" s="1170">
        <v>1195520</v>
      </c>
      <c r="C223" s="1170">
        <v>1648177</v>
      </c>
      <c r="D223" s="1170">
        <v>1502922</v>
      </c>
      <c r="E223" s="1170">
        <v>1050686</v>
      </c>
      <c r="F223" s="1188">
        <v>5397305</v>
      </c>
    </row>
    <row r="224" spans="1:6" hidden="1">
      <c r="A224" s="1166" t="s">
        <v>207</v>
      </c>
      <c r="B224" s="1174">
        <v>1219531</v>
      </c>
      <c r="C224" s="1174">
        <v>1736064</v>
      </c>
      <c r="D224" s="1174">
        <v>1544615</v>
      </c>
      <c r="E224" s="1174">
        <v>1116677</v>
      </c>
      <c r="F224" s="1188">
        <v>5616887</v>
      </c>
    </row>
    <row r="225" spans="1:6">
      <c r="A225" s="1166" t="s">
        <v>208</v>
      </c>
      <c r="B225" s="1174">
        <v>1230138</v>
      </c>
      <c r="C225" s="1174">
        <v>1777107</v>
      </c>
      <c r="D225" s="1174">
        <v>1550747</v>
      </c>
      <c r="E225" s="1174">
        <v>1119065</v>
      </c>
      <c r="F225" s="1188">
        <v>5677057</v>
      </c>
    </row>
    <row r="226" spans="1:6">
      <c r="A226" s="1166" t="s">
        <v>2</v>
      </c>
      <c r="B226" s="1174">
        <v>1167475</v>
      </c>
      <c r="C226" s="1174">
        <v>1791248</v>
      </c>
      <c r="D226" s="1174">
        <v>1551407</v>
      </c>
      <c r="E226" s="1174">
        <v>1087785</v>
      </c>
      <c r="F226" s="1188">
        <v>5597915</v>
      </c>
    </row>
    <row r="227" spans="1:6">
      <c r="A227" s="1193" t="s">
        <v>485</v>
      </c>
      <c r="B227" s="1194">
        <v>1268592</v>
      </c>
      <c r="C227" s="1194">
        <v>1821171</v>
      </c>
      <c r="D227" s="1194">
        <v>1516707</v>
      </c>
      <c r="E227" s="1194">
        <v>1106231</v>
      </c>
      <c r="F227" s="1195">
        <v>5712701</v>
      </c>
    </row>
    <row r="228" spans="1:6">
      <c r="A228" s="1196" t="s">
        <v>486</v>
      </c>
    </row>
    <row r="229" spans="1:6">
      <c r="B229" s="1197"/>
      <c r="C229" s="1197"/>
      <c r="D229" s="1197"/>
      <c r="E229" s="1197"/>
      <c r="F229" s="1197"/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&amp;LBundesanstalt für Landwirtschaft
und Ernährung Ref. 423&amp;CStruktur der Mühlenwirtschaft
WJ 2012/13</oddHead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workbookViewId="0">
      <selection sqref="A1:K20"/>
    </sheetView>
  </sheetViews>
  <sheetFormatPr baseColWidth="10" defaultColWidth="9.7109375" defaultRowHeight="12.75"/>
  <cols>
    <col min="1" max="1" width="8.42578125" style="28" customWidth="1"/>
    <col min="2" max="2" width="11" style="28" customWidth="1"/>
    <col min="3" max="3" width="9" style="28" customWidth="1"/>
    <col min="4" max="5" width="10.140625" style="28" bestFit="1" customWidth="1"/>
    <col min="6" max="6" width="9" style="28" customWidth="1"/>
    <col min="7" max="8" width="9.7109375" style="28" hidden="1" customWidth="1"/>
    <col min="9" max="9" width="9" style="28" customWidth="1"/>
    <col min="10" max="10" width="9.5703125" style="28" customWidth="1"/>
    <col min="11" max="11" width="10.42578125" style="28" customWidth="1"/>
    <col min="12" max="21" width="10.7109375" style="28" customWidth="1"/>
    <col min="22" max="16384" width="9.7109375" style="28"/>
  </cols>
  <sheetData>
    <row r="1" spans="1:16" ht="18">
      <c r="A1" s="25" t="s">
        <v>16</v>
      </c>
      <c r="B1" s="26"/>
      <c r="C1" s="27"/>
      <c r="D1" s="27"/>
      <c r="E1" s="27"/>
      <c r="F1" s="27"/>
      <c r="G1" s="27"/>
      <c r="H1" s="27"/>
      <c r="I1" s="27"/>
      <c r="J1" s="27"/>
      <c r="K1" s="27"/>
    </row>
    <row r="2" spans="1:16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>
      <c r="A3" s="29"/>
      <c r="B3" s="30"/>
      <c r="C3" s="31">
        <v>500</v>
      </c>
      <c r="D3" s="32" t="s">
        <v>17</v>
      </c>
      <c r="E3" s="32" t="s">
        <v>18</v>
      </c>
      <c r="F3" s="32" t="s">
        <v>19</v>
      </c>
      <c r="G3" s="32">
        <v>100000</v>
      </c>
      <c r="H3" s="30"/>
      <c r="I3" s="30"/>
      <c r="J3" s="29"/>
      <c r="K3" s="33" t="s">
        <v>20</v>
      </c>
      <c r="P3" s="34"/>
    </row>
    <row r="4" spans="1:16">
      <c r="A4" s="35" t="s">
        <v>21</v>
      </c>
      <c r="B4" s="36"/>
      <c r="C4" s="37" t="s">
        <v>22</v>
      </c>
      <c r="D4" s="36" t="s">
        <v>22</v>
      </c>
      <c r="E4" s="36" t="s">
        <v>22</v>
      </c>
      <c r="F4" s="36" t="s">
        <v>22</v>
      </c>
      <c r="G4" s="36" t="s">
        <v>22</v>
      </c>
      <c r="H4" s="38">
        <v>200000</v>
      </c>
      <c r="I4" s="38" t="s">
        <v>23</v>
      </c>
      <c r="J4" s="39" t="s">
        <v>24</v>
      </c>
      <c r="K4" s="40" t="s">
        <v>25</v>
      </c>
    </row>
    <row r="5" spans="1:16">
      <c r="A5" s="41"/>
      <c r="B5" s="42"/>
      <c r="C5" s="43" t="s">
        <v>26</v>
      </c>
      <c r="D5" s="44" t="s">
        <v>27</v>
      </c>
      <c r="E5" s="44" t="s">
        <v>28</v>
      </c>
      <c r="F5" s="44" t="s">
        <v>23</v>
      </c>
      <c r="G5" s="44">
        <v>200000</v>
      </c>
      <c r="H5" s="45" t="s">
        <v>29</v>
      </c>
      <c r="I5" s="45" t="s">
        <v>29</v>
      </c>
      <c r="J5" s="46"/>
      <c r="K5" s="46"/>
    </row>
    <row r="6" spans="1:16" s="51" customFormat="1" ht="20.100000000000001" customHeight="1">
      <c r="A6" s="47"/>
      <c r="B6" s="48"/>
      <c r="C6" s="49"/>
      <c r="D6" s="49" t="s">
        <v>30</v>
      </c>
      <c r="E6" s="49"/>
      <c r="F6" s="49"/>
      <c r="G6" s="49"/>
      <c r="H6" s="49"/>
      <c r="I6" s="49"/>
      <c r="J6" s="29"/>
      <c r="K6" s="50"/>
      <c r="L6" s="28"/>
      <c r="M6" s="28"/>
      <c r="N6" s="28"/>
      <c r="O6" s="28"/>
      <c r="P6" s="28"/>
    </row>
    <row r="7" spans="1:16" s="27" customFormat="1" ht="12.75" customHeight="1">
      <c r="A7" s="52" t="s">
        <v>2</v>
      </c>
      <c r="B7" s="53" t="s">
        <v>31</v>
      </c>
      <c r="C7" s="54">
        <v>140</v>
      </c>
      <c r="D7" s="54">
        <v>52</v>
      </c>
      <c r="E7" s="55">
        <v>16</v>
      </c>
      <c r="F7" s="55">
        <v>18</v>
      </c>
      <c r="G7" s="55"/>
      <c r="H7" s="54"/>
      <c r="I7" s="54">
        <v>26</v>
      </c>
      <c r="J7" s="56">
        <f>SUM(C7:I7)</f>
        <v>252</v>
      </c>
      <c r="K7" s="57">
        <v>8</v>
      </c>
    </row>
    <row r="8" spans="1:16" s="27" customFormat="1" ht="12.75" customHeight="1">
      <c r="A8" s="52"/>
      <c r="B8" s="53" t="s">
        <v>32</v>
      </c>
      <c r="C8" s="58">
        <f>C7/$J$7</f>
        <v>0.55555555555555558</v>
      </c>
      <c r="D8" s="58">
        <f>D7/$J$7</f>
        <v>0.20634920634920634</v>
      </c>
      <c r="E8" s="59">
        <f>E7/$J$7</f>
        <v>6.3492063492063489E-2</v>
      </c>
      <c r="F8" s="59">
        <f>F7/$J$7</f>
        <v>7.1428571428571425E-2</v>
      </c>
      <c r="G8" s="59"/>
      <c r="H8" s="58"/>
      <c r="I8" s="58">
        <f>I7/$J$7</f>
        <v>0.10317460317460317</v>
      </c>
      <c r="J8" s="56"/>
      <c r="K8" s="57"/>
    </row>
    <row r="9" spans="1:16" ht="24.95" customHeight="1">
      <c r="A9" s="60"/>
      <c r="B9" s="61" t="s">
        <v>33</v>
      </c>
      <c r="C9" s="62">
        <v>277.68099999999998</v>
      </c>
      <c r="D9" s="62">
        <f>194.71+388.634</f>
        <v>583.34400000000005</v>
      </c>
      <c r="E9" s="63">
        <v>497.14</v>
      </c>
      <c r="F9" s="63">
        <v>1294.01</v>
      </c>
      <c r="G9" s="64"/>
      <c r="H9" s="64"/>
      <c r="I9" s="62">
        <f>2008.163+3145.973</f>
        <v>5154.1360000000004</v>
      </c>
      <c r="J9" s="65">
        <f>SUM(C9,D9,E9,F9,I9)+K9</f>
        <v>8211.9989999999998</v>
      </c>
      <c r="K9" s="66">
        <v>405.68799999999999</v>
      </c>
    </row>
    <row r="10" spans="1:16" ht="12.75" customHeight="1">
      <c r="A10" s="67"/>
      <c r="B10" s="46" t="s">
        <v>34</v>
      </c>
      <c r="C10" s="68">
        <f>C9/$J$9</f>
        <v>3.3814056723582162E-2</v>
      </c>
      <c r="D10" s="68">
        <f>D9/$J$9</f>
        <v>7.1035566370624262E-2</v>
      </c>
      <c r="E10" s="68">
        <f>E9/$J$9</f>
        <v>6.0538244098665865E-2</v>
      </c>
      <c r="F10" s="68">
        <f>F9/$J$9</f>
        <v>0.1575755184578079</v>
      </c>
      <c r="G10" s="68">
        <f>G9/$J$17</f>
        <v>0</v>
      </c>
      <c r="H10" s="68">
        <f>H9/$J$17</f>
        <v>0</v>
      </c>
      <c r="I10" s="69">
        <f>I9/$J$9</f>
        <v>0.62763475738367724</v>
      </c>
      <c r="J10" s="46"/>
      <c r="K10" s="70">
        <f>K9/$J$9</f>
        <v>4.9401856965642595E-2</v>
      </c>
    </row>
    <row r="11" spans="1:16" ht="25.5" customHeight="1">
      <c r="A11" s="1249" t="s">
        <v>35</v>
      </c>
      <c r="B11" s="1250"/>
      <c r="C11" s="71">
        <f t="shared" ref="C11:K11" si="0">C9*1000/C7</f>
        <v>1983.4357142857143</v>
      </c>
      <c r="D11" s="71">
        <f t="shared" si="0"/>
        <v>11218.153846153846</v>
      </c>
      <c r="E11" s="71">
        <f t="shared" si="0"/>
        <v>31071.25</v>
      </c>
      <c r="F11" s="71">
        <f t="shared" si="0"/>
        <v>71889.444444444438</v>
      </c>
      <c r="G11" s="71" t="e">
        <f t="shared" si="0"/>
        <v>#DIV/0!</v>
      </c>
      <c r="H11" s="71" t="e">
        <f t="shared" si="0"/>
        <v>#DIV/0!</v>
      </c>
      <c r="I11" s="71">
        <f t="shared" si="0"/>
        <v>198236</v>
      </c>
      <c r="J11" s="72">
        <f t="shared" si="0"/>
        <v>32587.297619047618</v>
      </c>
      <c r="K11" s="72">
        <f t="shared" si="0"/>
        <v>50711</v>
      </c>
    </row>
    <row r="12" spans="1:16">
      <c r="A12" s="29"/>
      <c r="B12" s="30"/>
      <c r="C12" s="31"/>
      <c r="D12" s="32" t="s">
        <v>17</v>
      </c>
      <c r="E12" s="32" t="s">
        <v>18</v>
      </c>
      <c r="F12" s="32" t="s">
        <v>19</v>
      </c>
      <c r="G12" s="32">
        <v>100000</v>
      </c>
      <c r="H12" s="30"/>
      <c r="I12" s="30"/>
      <c r="J12" s="29"/>
      <c r="K12" s="33" t="s">
        <v>20</v>
      </c>
      <c r="P12" s="34"/>
    </row>
    <row r="13" spans="1:16" ht="14.25">
      <c r="A13" s="35" t="s">
        <v>21</v>
      </c>
      <c r="B13" s="36"/>
      <c r="C13" s="37" t="s">
        <v>36</v>
      </c>
      <c r="D13" s="36" t="s">
        <v>22</v>
      </c>
      <c r="E13" s="36" t="s">
        <v>22</v>
      </c>
      <c r="F13" s="36" t="s">
        <v>22</v>
      </c>
      <c r="G13" s="36" t="s">
        <v>22</v>
      </c>
      <c r="H13" s="38">
        <v>200000</v>
      </c>
      <c r="I13" s="38" t="s">
        <v>23</v>
      </c>
      <c r="J13" s="39" t="s">
        <v>24</v>
      </c>
      <c r="K13" s="40" t="s">
        <v>25</v>
      </c>
    </row>
    <row r="14" spans="1:16">
      <c r="A14" s="41"/>
      <c r="B14" s="42"/>
      <c r="C14" s="43" t="s">
        <v>26</v>
      </c>
      <c r="D14" s="44" t="s">
        <v>27</v>
      </c>
      <c r="E14" s="44" t="s">
        <v>28</v>
      </c>
      <c r="F14" s="44" t="s">
        <v>23</v>
      </c>
      <c r="G14" s="44">
        <v>200000</v>
      </c>
      <c r="H14" s="45" t="s">
        <v>29</v>
      </c>
      <c r="I14" s="45" t="s">
        <v>29</v>
      </c>
      <c r="J14" s="46"/>
      <c r="K14" s="46"/>
    </row>
    <row r="15" spans="1:16" s="27" customFormat="1" ht="12.75" customHeight="1">
      <c r="A15" s="52" t="s">
        <v>1</v>
      </c>
      <c r="B15" s="53" t="s">
        <v>31</v>
      </c>
      <c r="C15" s="54">
        <v>105</v>
      </c>
      <c r="D15" s="54">
        <v>50</v>
      </c>
      <c r="E15" s="55">
        <v>19</v>
      </c>
      <c r="F15" s="55">
        <v>16</v>
      </c>
      <c r="G15" s="55"/>
      <c r="H15" s="54"/>
      <c r="I15" s="54">
        <v>28</v>
      </c>
      <c r="J15" s="73">
        <f>SUM(C15:I15)</f>
        <v>218</v>
      </c>
      <c r="K15" s="57">
        <v>10</v>
      </c>
    </row>
    <row r="16" spans="1:16" s="27" customFormat="1" ht="12.75" customHeight="1">
      <c r="A16" s="52"/>
      <c r="B16" s="53" t="s">
        <v>32</v>
      </c>
      <c r="C16" s="58">
        <f>C15/$J$15</f>
        <v>0.48165137614678899</v>
      </c>
      <c r="D16" s="58">
        <f>D15/$J$15</f>
        <v>0.22935779816513763</v>
      </c>
      <c r="E16" s="59">
        <f>E15/$J$15</f>
        <v>8.7155963302752298E-2</v>
      </c>
      <c r="F16" s="59">
        <f>F15/$J$15</f>
        <v>7.3394495412844041E-2</v>
      </c>
      <c r="G16" s="59"/>
      <c r="H16" s="58"/>
      <c r="I16" s="58">
        <f>I15/$J$15</f>
        <v>0.12844036697247707</v>
      </c>
      <c r="J16" s="56"/>
      <c r="K16" s="57"/>
    </row>
    <row r="17" spans="1:11" ht="24.95" customHeight="1">
      <c r="A17" s="60"/>
      <c r="B17" s="61" t="s">
        <v>33</v>
      </c>
      <c r="C17" s="62">
        <v>213.65199999999999</v>
      </c>
      <c r="D17" s="62">
        <v>548.13699999999994</v>
      </c>
      <c r="E17" s="63">
        <v>663.71400000000006</v>
      </c>
      <c r="F17" s="63">
        <v>1134.6099999999999</v>
      </c>
      <c r="G17" s="64"/>
      <c r="H17" s="64"/>
      <c r="I17" s="62">
        <v>5887.8310000000001</v>
      </c>
      <c r="J17" s="65">
        <f>SUM(C17,D17,E17,F17,I17)</f>
        <v>8447.9439999999995</v>
      </c>
      <c r="K17" s="66">
        <v>415.46899999999999</v>
      </c>
    </row>
    <row r="18" spans="1:11" ht="12.75" customHeight="1">
      <c r="A18" s="67"/>
      <c r="B18" s="46" t="s">
        <v>34</v>
      </c>
      <c r="C18" s="68">
        <f t="shared" ref="C18:I18" si="1">C17/$J$17</f>
        <v>2.5290413856910037E-2</v>
      </c>
      <c r="D18" s="68">
        <f t="shared" si="1"/>
        <v>6.4884071201229548E-2</v>
      </c>
      <c r="E18" s="68">
        <f t="shared" si="1"/>
        <v>7.8565151473541969E-2</v>
      </c>
      <c r="F18" s="68">
        <f t="shared" si="1"/>
        <v>0.1343060512711732</v>
      </c>
      <c r="G18" s="68">
        <f t="shared" si="1"/>
        <v>0</v>
      </c>
      <c r="H18" s="68">
        <f t="shared" si="1"/>
        <v>0</v>
      </c>
      <c r="I18" s="69">
        <f t="shared" si="1"/>
        <v>0.69695431219714532</v>
      </c>
      <c r="J18" s="46"/>
      <c r="K18" s="70">
        <f>K17/$J$17</f>
        <v>4.9179895131880612E-2</v>
      </c>
    </row>
    <row r="19" spans="1:11" ht="25.5" customHeight="1">
      <c r="A19" s="1249" t="s">
        <v>35</v>
      </c>
      <c r="B19" s="1250"/>
      <c r="C19" s="71">
        <f>C17*1000/C15</f>
        <v>2034.7809523809524</v>
      </c>
      <c r="D19" s="71">
        <f t="shared" ref="D19:K19" si="2">D17*1000/D15</f>
        <v>10962.74</v>
      </c>
      <c r="E19" s="71">
        <f t="shared" si="2"/>
        <v>34932.315789473687</v>
      </c>
      <c r="F19" s="71">
        <f t="shared" si="2"/>
        <v>70913.125</v>
      </c>
      <c r="G19" s="71" t="e">
        <f>G17*1000/G15</f>
        <v>#DIV/0!</v>
      </c>
      <c r="H19" s="71" t="e">
        <f t="shared" si="2"/>
        <v>#DIV/0!</v>
      </c>
      <c r="I19" s="71">
        <f t="shared" si="2"/>
        <v>210279.67857142858</v>
      </c>
      <c r="J19" s="72">
        <f>J17*1000/J15</f>
        <v>38752.036697247706</v>
      </c>
      <c r="K19" s="72">
        <f t="shared" si="2"/>
        <v>41546.9</v>
      </c>
    </row>
    <row r="20" spans="1:11">
      <c r="A20" s="28" t="s">
        <v>37</v>
      </c>
    </row>
    <row r="24" spans="1:11">
      <c r="C24" s="74"/>
      <c r="D24" s="74"/>
      <c r="E24" s="74"/>
      <c r="F24" s="74"/>
      <c r="G24" s="74"/>
      <c r="H24" s="74"/>
      <c r="I24" s="74"/>
      <c r="J24" s="74"/>
      <c r="K24" s="74"/>
    </row>
  </sheetData>
  <mergeCells count="2">
    <mergeCell ref="A11:B11"/>
    <mergeCell ref="A19:B19"/>
  </mergeCells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showGridLines="0" zoomScaleNormal="100" workbookViewId="0">
      <selection sqref="A1:G17"/>
    </sheetView>
  </sheetViews>
  <sheetFormatPr baseColWidth="10" defaultRowHeight="12.75" customHeight="1"/>
  <cols>
    <col min="1" max="6" width="10.7109375" style="1153" customWidth="1"/>
    <col min="7" max="250" width="11.42578125" style="1153"/>
    <col min="251" max="256" width="10.7109375" style="1153" customWidth="1"/>
    <col min="257" max="506" width="11.42578125" style="1153"/>
    <col min="507" max="512" width="10.7109375" style="1153" customWidth="1"/>
    <col min="513" max="762" width="11.42578125" style="1153"/>
    <col min="763" max="768" width="10.7109375" style="1153" customWidth="1"/>
    <col min="769" max="1018" width="11.42578125" style="1153"/>
    <col min="1019" max="1024" width="10.7109375" style="1153" customWidth="1"/>
    <col min="1025" max="1274" width="11.42578125" style="1153"/>
    <col min="1275" max="1280" width="10.7109375" style="1153" customWidth="1"/>
    <col min="1281" max="1530" width="11.42578125" style="1153"/>
    <col min="1531" max="1536" width="10.7109375" style="1153" customWidth="1"/>
    <col min="1537" max="1786" width="11.42578125" style="1153"/>
    <col min="1787" max="1792" width="10.7109375" style="1153" customWidth="1"/>
    <col min="1793" max="2042" width="11.42578125" style="1153"/>
    <col min="2043" max="2048" width="10.7109375" style="1153" customWidth="1"/>
    <col min="2049" max="2298" width="11.42578125" style="1153"/>
    <col min="2299" max="2304" width="10.7109375" style="1153" customWidth="1"/>
    <col min="2305" max="2554" width="11.42578125" style="1153"/>
    <col min="2555" max="2560" width="10.7109375" style="1153" customWidth="1"/>
    <col min="2561" max="2810" width="11.42578125" style="1153"/>
    <col min="2811" max="2816" width="10.7109375" style="1153" customWidth="1"/>
    <col min="2817" max="3066" width="11.42578125" style="1153"/>
    <col min="3067" max="3072" width="10.7109375" style="1153" customWidth="1"/>
    <col min="3073" max="3322" width="11.42578125" style="1153"/>
    <col min="3323" max="3328" width="10.7109375" style="1153" customWidth="1"/>
    <col min="3329" max="3578" width="11.42578125" style="1153"/>
    <col min="3579" max="3584" width="10.7109375" style="1153" customWidth="1"/>
    <col min="3585" max="3834" width="11.42578125" style="1153"/>
    <col min="3835" max="3840" width="10.7109375" style="1153" customWidth="1"/>
    <col min="3841" max="4090" width="11.42578125" style="1153"/>
    <col min="4091" max="4096" width="10.7109375" style="1153" customWidth="1"/>
    <col min="4097" max="4346" width="11.42578125" style="1153"/>
    <col min="4347" max="4352" width="10.7109375" style="1153" customWidth="1"/>
    <col min="4353" max="4602" width="11.42578125" style="1153"/>
    <col min="4603" max="4608" width="10.7109375" style="1153" customWidth="1"/>
    <col min="4609" max="4858" width="11.42578125" style="1153"/>
    <col min="4859" max="4864" width="10.7109375" style="1153" customWidth="1"/>
    <col min="4865" max="5114" width="11.42578125" style="1153"/>
    <col min="5115" max="5120" width="10.7109375" style="1153" customWidth="1"/>
    <col min="5121" max="5370" width="11.42578125" style="1153"/>
    <col min="5371" max="5376" width="10.7109375" style="1153" customWidth="1"/>
    <col min="5377" max="5626" width="11.42578125" style="1153"/>
    <col min="5627" max="5632" width="10.7109375" style="1153" customWidth="1"/>
    <col min="5633" max="5882" width="11.42578125" style="1153"/>
    <col min="5883" max="5888" width="10.7109375" style="1153" customWidth="1"/>
    <col min="5889" max="6138" width="11.42578125" style="1153"/>
    <col min="6139" max="6144" width="10.7109375" style="1153" customWidth="1"/>
    <col min="6145" max="6394" width="11.42578125" style="1153"/>
    <col min="6395" max="6400" width="10.7109375" style="1153" customWidth="1"/>
    <col min="6401" max="6650" width="11.42578125" style="1153"/>
    <col min="6651" max="6656" width="10.7109375" style="1153" customWidth="1"/>
    <col min="6657" max="6906" width="11.42578125" style="1153"/>
    <col min="6907" max="6912" width="10.7109375" style="1153" customWidth="1"/>
    <col min="6913" max="7162" width="11.42578125" style="1153"/>
    <col min="7163" max="7168" width="10.7109375" style="1153" customWidth="1"/>
    <col min="7169" max="7418" width="11.42578125" style="1153"/>
    <col min="7419" max="7424" width="10.7109375" style="1153" customWidth="1"/>
    <col min="7425" max="7674" width="11.42578125" style="1153"/>
    <col min="7675" max="7680" width="10.7109375" style="1153" customWidth="1"/>
    <col min="7681" max="7930" width="11.42578125" style="1153"/>
    <col min="7931" max="7936" width="10.7109375" style="1153" customWidth="1"/>
    <col min="7937" max="8186" width="11.42578125" style="1153"/>
    <col min="8187" max="8192" width="10.7109375" style="1153" customWidth="1"/>
    <col min="8193" max="8442" width="11.42578125" style="1153"/>
    <col min="8443" max="8448" width="10.7109375" style="1153" customWidth="1"/>
    <col min="8449" max="8698" width="11.42578125" style="1153"/>
    <col min="8699" max="8704" width="10.7109375" style="1153" customWidth="1"/>
    <col min="8705" max="8954" width="11.42578125" style="1153"/>
    <col min="8955" max="8960" width="10.7109375" style="1153" customWidth="1"/>
    <col min="8961" max="9210" width="11.42578125" style="1153"/>
    <col min="9211" max="9216" width="10.7109375" style="1153" customWidth="1"/>
    <col min="9217" max="9466" width="11.42578125" style="1153"/>
    <col min="9467" max="9472" width="10.7109375" style="1153" customWidth="1"/>
    <col min="9473" max="9722" width="11.42578125" style="1153"/>
    <col min="9723" max="9728" width="10.7109375" style="1153" customWidth="1"/>
    <col min="9729" max="9978" width="11.42578125" style="1153"/>
    <col min="9979" max="9984" width="10.7109375" style="1153" customWidth="1"/>
    <col min="9985" max="10234" width="11.42578125" style="1153"/>
    <col min="10235" max="10240" width="10.7109375" style="1153" customWidth="1"/>
    <col min="10241" max="10490" width="11.42578125" style="1153"/>
    <col min="10491" max="10496" width="10.7109375" style="1153" customWidth="1"/>
    <col min="10497" max="10746" width="11.42578125" style="1153"/>
    <col min="10747" max="10752" width="10.7109375" style="1153" customWidth="1"/>
    <col min="10753" max="11002" width="11.42578125" style="1153"/>
    <col min="11003" max="11008" width="10.7109375" style="1153" customWidth="1"/>
    <col min="11009" max="11258" width="11.42578125" style="1153"/>
    <col min="11259" max="11264" width="10.7109375" style="1153" customWidth="1"/>
    <col min="11265" max="11514" width="11.42578125" style="1153"/>
    <col min="11515" max="11520" width="10.7109375" style="1153" customWidth="1"/>
    <col min="11521" max="11770" width="11.42578125" style="1153"/>
    <col min="11771" max="11776" width="10.7109375" style="1153" customWidth="1"/>
    <col min="11777" max="12026" width="11.42578125" style="1153"/>
    <col min="12027" max="12032" width="10.7109375" style="1153" customWidth="1"/>
    <col min="12033" max="12282" width="11.42578125" style="1153"/>
    <col min="12283" max="12288" width="10.7109375" style="1153" customWidth="1"/>
    <col min="12289" max="12538" width="11.42578125" style="1153"/>
    <col min="12539" max="12544" width="10.7109375" style="1153" customWidth="1"/>
    <col min="12545" max="12794" width="11.42578125" style="1153"/>
    <col min="12795" max="12800" width="10.7109375" style="1153" customWidth="1"/>
    <col min="12801" max="13050" width="11.42578125" style="1153"/>
    <col min="13051" max="13056" width="10.7109375" style="1153" customWidth="1"/>
    <col min="13057" max="13306" width="11.42578125" style="1153"/>
    <col min="13307" max="13312" width="10.7109375" style="1153" customWidth="1"/>
    <col min="13313" max="13562" width="11.42578125" style="1153"/>
    <col min="13563" max="13568" width="10.7109375" style="1153" customWidth="1"/>
    <col min="13569" max="13818" width="11.42578125" style="1153"/>
    <col min="13819" max="13824" width="10.7109375" style="1153" customWidth="1"/>
    <col min="13825" max="14074" width="11.42578125" style="1153"/>
    <col min="14075" max="14080" width="10.7109375" style="1153" customWidth="1"/>
    <col min="14081" max="14330" width="11.42578125" style="1153"/>
    <col min="14331" max="14336" width="10.7109375" style="1153" customWidth="1"/>
    <col min="14337" max="14586" width="11.42578125" style="1153"/>
    <col min="14587" max="14592" width="10.7109375" style="1153" customWidth="1"/>
    <col min="14593" max="14842" width="11.42578125" style="1153"/>
    <col min="14843" max="14848" width="10.7109375" style="1153" customWidth="1"/>
    <col min="14849" max="15098" width="11.42578125" style="1153"/>
    <col min="15099" max="15104" width="10.7109375" style="1153" customWidth="1"/>
    <col min="15105" max="15354" width="11.42578125" style="1153"/>
    <col min="15355" max="15360" width="10.7109375" style="1153" customWidth="1"/>
    <col min="15361" max="15610" width="11.42578125" style="1153"/>
    <col min="15611" max="15616" width="10.7109375" style="1153" customWidth="1"/>
    <col min="15617" max="15866" width="11.42578125" style="1153"/>
    <col min="15867" max="15872" width="10.7109375" style="1153" customWidth="1"/>
    <col min="15873" max="16122" width="11.42578125" style="1153"/>
    <col min="16123" max="16128" width="10.7109375" style="1153" customWidth="1"/>
    <col min="16129" max="16384" width="11.42578125" style="1153"/>
  </cols>
  <sheetData>
    <row r="1" spans="1:6" ht="17.25" customHeight="1">
      <c r="A1" s="1150" t="s">
        <v>488</v>
      </c>
      <c r="B1" s="1151"/>
      <c r="C1" s="1151"/>
      <c r="D1" s="1152"/>
      <c r="E1" s="1152"/>
      <c r="F1" s="1152"/>
    </row>
    <row r="3" spans="1:6" ht="12.75" customHeight="1">
      <c r="B3" s="1154" t="s">
        <v>489</v>
      </c>
      <c r="C3" s="1154"/>
      <c r="D3" s="1152"/>
      <c r="E3" s="1152"/>
      <c r="F3" s="1152"/>
    </row>
    <row r="4" spans="1:6" ht="12.75" customHeight="1">
      <c r="A4" s="1198"/>
      <c r="B4" s="1198"/>
      <c r="C4" s="1198"/>
      <c r="D4" s="1199"/>
      <c r="E4" s="1199"/>
    </row>
    <row r="5" spans="1:6" ht="27.75" customHeight="1">
      <c r="A5" s="1200" t="s">
        <v>490</v>
      </c>
      <c r="B5" s="1201" t="s">
        <v>87</v>
      </c>
      <c r="C5" s="1202" t="s">
        <v>88</v>
      </c>
      <c r="D5" s="1202" t="s">
        <v>89</v>
      </c>
      <c r="E5" s="1202" t="s">
        <v>90</v>
      </c>
      <c r="F5" s="1203" t="s">
        <v>473</v>
      </c>
    </row>
    <row r="6" spans="1:6" ht="12.75" customHeight="1">
      <c r="A6" s="1204" t="s">
        <v>491</v>
      </c>
      <c r="B6" s="1205"/>
      <c r="C6" s="1206"/>
      <c r="D6" s="1206"/>
      <c r="E6" s="1207"/>
      <c r="F6" s="1208"/>
    </row>
    <row r="7" spans="1:6" ht="12.75" hidden="1" customHeight="1">
      <c r="A7" s="1209" t="s">
        <v>184</v>
      </c>
      <c r="B7" s="1210"/>
      <c r="C7" s="1211"/>
      <c r="D7" s="1211"/>
      <c r="E7" s="1211"/>
      <c r="F7" s="1212">
        <v>45999</v>
      </c>
    </row>
    <row r="8" spans="1:6" ht="12.75" hidden="1" customHeight="1">
      <c r="A8" s="1209" t="s">
        <v>185</v>
      </c>
      <c r="B8" s="1210"/>
      <c r="C8" s="1213"/>
      <c r="D8" s="1213"/>
      <c r="E8" s="1213"/>
      <c r="F8" s="1214">
        <v>40553</v>
      </c>
    </row>
    <row r="9" spans="1:6" ht="12.75" hidden="1" customHeight="1">
      <c r="A9" s="1209" t="s">
        <v>186</v>
      </c>
      <c r="B9" s="1210"/>
      <c r="C9" s="1213"/>
      <c r="D9" s="1213"/>
      <c r="E9" s="1213"/>
      <c r="F9" s="1214">
        <v>38552</v>
      </c>
    </row>
    <row r="10" spans="1:6" ht="12.75" hidden="1" customHeight="1">
      <c r="A10" s="1209" t="s">
        <v>189</v>
      </c>
      <c r="B10" s="1210"/>
      <c r="C10" s="1213"/>
      <c r="D10" s="1213"/>
      <c r="E10" s="1213"/>
      <c r="F10" s="1214">
        <v>32173</v>
      </c>
    </row>
    <row r="11" spans="1:6" ht="12.75" hidden="1" customHeight="1">
      <c r="A11" s="1209" t="s">
        <v>191</v>
      </c>
      <c r="B11" s="1210"/>
      <c r="C11" s="1213"/>
      <c r="D11" s="1213"/>
      <c r="E11" s="1213"/>
      <c r="F11" s="1214">
        <v>32443</v>
      </c>
    </row>
    <row r="12" spans="1:6" ht="12.75" hidden="1" customHeight="1">
      <c r="A12" s="1209" t="s">
        <v>194</v>
      </c>
      <c r="B12" s="1210"/>
      <c r="C12" s="1213"/>
      <c r="D12" s="1213"/>
      <c r="E12" s="1213"/>
      <c r="F12" s="1214">
        <v>36764</v>
      </c>
    </row>
    <row r="13" spans="1:6" ht="12.75" hidden="1" customHeight="1">
      <c r="A13" s="1209" t="s">
        <v>196</v>
      </c>
      <c r="B13" s="1210"/>
      <c r="C13" s="1213"/>
      <c r="D13" s="1213"/>
      <c r="E13" s="1213"/>
      <c r="F13" s="1214">
        <v>39074</v>
      </c>
    </row>
    <row r="14" spans="1:6" ht="12.75" hidden="1" customHeight="1">
      <c r="A14" s="1215" t="s">
        <v>197</v>
      </c>
      <c r="B14" s="1216"/>
      <c r="C14" s="1217"/>
      <c r="D14" s="1217"/>
      <c r="E14" s="1213"/>
      <c r="F14" s="1214">
        <v>33005</v>
      </c>
    </row>
    <row r="15" spans="1:6" ht="12.75" hidden="1" customHeight="1">
      <c r="A15" s="1215" t="s">
        <v>198</v>
      </c>
      <c r="B15" s="1218">
        <v>1198</v>
      </c>
      <c r="C15" s="1218">
        <v>12850</v>
      </c>
      <c r="D15" s="1218">
        <v>13437</v>
      </c>
      <c r="E15" s="1219">
        <v>3424</v>
      </c>
      <c r="F15" s="1220">
        <v>30909</v>
      </c>
    </row>
    <row r="16" spans="1:6" ht="12.75" hidden="1" customHeight="1">
      <c r="A16" s="1215" t="s">
        <v>199</v>
      </c>
      <c r="B16" s="1218">
        <v>1467</v>
      </c>
      <c r="C16" s="1218">
        <v>12612</v>
      </c>
      <c r="D16" s="1218">
        <v>12718</v>
      </c>
      <c r="E16" s="1219">
        <v>2170</v>
      </c>
      <c r="F16" s="1220">
        <v>28967</v>
      </c>
    </row>
    <row r="17" spans="1:6" ht="12.75" customHeight="1">
      <c r="A17" s="1215" t="s">
        <v>200</v>
      </c>
      <c r="B17" s="1218">
        <v>964</v>
      </c>
      <c r="C17" s="1218">
        <v>13177</v>
      </c>
      <c r="D17" s="1218">
        <v>12747</v>
      </c>
      <c r="E17" s="1219">
        <v>2841</v>
      </c>
      <c r="F17" s="1220">
        <v>29729</v>
      </c>
    </row>
    <row r="18" spans="1:6" ht="12.75" hidden="1" customHeight="1">
      <c r="A18" s="1215" t="s">
        <v>201</v>
      </c>
      <c r="B18" s="1218">
        <v>2616</v>
      </c>
      <c r="C18" s="1218">
        <v>13071</v>
      </c>
      <c r="D18" s="1218">
        <v>11913</v>
      </c>
      <c r="E18" s="1219">
        <v>1923</v>
      </c>
      <c r="F18" s="1220">
        <v>29523</v>
      </c>
    </row>
    <row r="19" spans="1:6" ht="12.75" hidden="1" customHeight="1">
      <c r="A19" s="1215" t="s">
        <v>202</v>
      </c>
      <c r="B19" s="1218">
        <v>1342</v>
      </c>
      <c r="C19" s="1218">
        <v>14491</v>
      </c>
      <c r="D19" s="1218">
        <v>9942</v>
      </c>
      <c r="E19" s="1219">
        <v>1857</v>
      </c>
      <c r="F19" s="1220">
        <v>27632</v>
      </c>
    </row>
    <row r="20" spans="1:6" ht="12.75" hidden="1" customHeight="1">
      <c r="A20" s="1215" t="s">
        <v>203</v>
      </c>
      <c r="B20" s="1218">
        <v>2265</v>
      </c>
      <c r="C20" s="1218">
        <v>15910</v>
      </c>
      <c r="D20" s="1218">
        <v>7385</v>
      </c>
      <c r="E20" s="1219">
        <v>1787</v>
      </c>
      <c r="F20" s="1220">
        <v>27347</v>
      </c>
    </row>
    <row r="21" spans="1:6" ht="12.75" hidden="1" customHeight="1">
      <c r="A21" s="1215" t="s">
        <v>204</v>
      </c>
      <c r="B21" s="1218">
        <v>771</v>
      </c>
      <c r="C21" s="1218">
        <v>15253</v>
      </c>
      <c r="D21" s="1218">
        <v>6593</v>
      </c>
      <c r="E21" s="1219">
        <v>2333</v>
      </c>
      <c r="F21" s="1220">
        <v>24950</v>
      </c>
    </row>
    <row r="22" spans="1:6" ht="12.75" hidden="1" customHeight="1">
      <c r="A22" s="1215" t="s">
        <v>205</v>
      </c>
      <c r="B22" s="1218">
        <v>480</v>
      </c>
      <c r="C22" s="1218">
        <v>12900</v>
      </c>
      <c r="D22" s="1218">
        <v>6054</v>
      </c>
      <c r="E22" s="1219">
        <v>2308</v>
      </c>
      <c r="F22" s="1220">
        <v>21742</v>
      </c>
    </row>
    <row r="23" spans="1:6" ht="12.75" hidden="1" customHeight="1">
      <c r="A23" s="1215" t="s">
        <v>206</v>
      </c>
      <c r="B23" s="1218">
        <v>686</v>
      </c>
      <c r="C23" s="1218">
        <v>11512</v>
      </c>
      <c r="D23" s="1218">
        <v>5943</v>
      </c>
      <c r="E23" s="1219">
        <v>2593</v>
      </c>
      <c r="F23" s="1220">
        <v>20734</v>
      </c>
    </row>
    <row r="24" spans="1:6" ht="12.75" hidden="1" customHeight="1">
      <c r="A24" s="1215" t="s">
        <v>475</v>
      </c>
      <c r="B24" s="1218">
        <v>488</v>
      </c>
      <c r="C24" s="1218">
        <v>8918</v>
      </c>
      <c r="D24" s="1218">
        <v>5506</v>
      </c>
      <c r="E24" s="1219">
        <v>2247</v>
      </c>
      <c r="F24" s="1220">
        <v>17159</v>
      </c>
    </row>
    <row r="25" spans="1:6" ht="12.75" hidden="1" customHeight="1">
      <c r="A25" s="1215" t="s">
        <v>207</v>
      </c>
      <c r="B25" s="1218">
        <v>362</v>
      </c>
      <c r="C25" s="1218">
        <v>10139</v>
      </c>
      <c r="D25" s="1218">
        <v>5659</v>
      </c>
      <c r="E25" s="1219">
        <v>1637</v>
      </c>
      <c r="F25" s="1220">
        <v>17797</v>
      </c>
    </row>
    <row r="26" spans="1:6" ht="12.75" customHeight="1">
      <c r="A26" s="1215" t="s">
        <v>208</v>
      </c>
      <c r="B26" s="1218">
        <v>231</v>
      </c>
      <c r="C26" s="1221">
        <v>12159</v>
      </c>
      <c r="D26" s="1222">
        <v>5474</v>
      </c>
      <c r="E26" s="1223">
        <v>1539</v>
      </c>
      <c r="F26" s="1220">
        <v>19403</v>
      </c>
    </row>
    <row r="27" spans="1:6" ht="12.75" customHeight="1">
      <c r="A27" s="1215" t="s">
        <v>2</v>
      </c>
      <c r="B27" s="1218">
        <v>93</v>
      </c>
      <c r="C27" s="1221">
        <v>10680</v>
      </c>
      <c r="D27" s="1222">
        <v>5207</v>
      </c>
      <c r="E27" s="1223">
        <v>1382</v>
      </c>
      <c r="F27" s="1220">
        <v>17362</v>
      </c>
    </row>
    <row r="28" spans="1:6" ht="12.75" customHeight="1">
      <c r="A28" s="1215" t="s">
        <v>1</v>
      </c>
      <c r="B28" s="1218">
        <v>572</v>
      </c>
      <c r="C28" s="1221">
        <v>9202</v>
      </c>
      <c r="D28" s="1222">
        <v>5677</v>
      </c>
      <c r="E28" s="1223">
        <v>1182</v>
      </c>
      <c r="F28" s="1220">
        <v>16633</v>
      </c>
    </row>
    <row r="29" spans="1:6" ht="12.75" customHeight="1">
      <c r="A29" s="1204" t="s">
        <v>492</v>
      </c>
      <c r="B29" s="1223"/>
      <c r="C29" s="1223"/>
      <c r="D29" s="1223"/>
      <c r="E29" s="1223"/>
      <c r="F29" s="1220"/>
    </row>
    <row r="30" spans="1:6" ht="12.75" hidden="1" customHeight="1">
      <c r="A30" s="1209" t="s">
        <v>184</v>
      </c>
      <c r="B30" s="1218">
        <v>32608</v>
      </c>
      <c r="C30" s="1218">
        <v>62761</v>
      </c>
      <c r="D30" s="1218">
        <v>55640</v>
      </c>
      <c r="E30" s="1219">
        <v>104887</v>
      </c>
      <c r="F30" s="1220">
        <v>255896</v>
      </c>
    </row>
    <row r="31" spans="1:6" ht="12.75" hidden="1" customHeight="1">
      <c r="A31" s="1209" t="s">
        <v>185</v>
      </c>
      <c r="B31" s="1218">
        <v>36053</v>
      </c>
      <c r="C31" s="1218">
        <v>61157</v>
      </c>
      <c r="D31" s="1218">
        <v>54807</v>
      </c>
      <c r="E31" s="1219">
        <v>91644</v>
      </c>
      <c r="F31" s="1220">
        <v>243661</v>
      </c>
    </row>
    <row r="32" spans="1:6" ht="12.75" hidden="1" customHeight="1">
      <c r="A32" s="1209" t="s">
        <v>186</v>
      </c>
      <c r="B32" s="1218">
        <v>33092</v>
      </c>
      <c r="C32" s="1218">
        <v>64851</v>
      </c>
      <c r="D32" s="1218">
        <v>57855</v>
      </c>
      <c r="E32" s="1219">
        <v>102732</v>
      </c>
      <c r="F32" s="1220">
        <v>258530</v>
      </c>
    </row>
    <row r="33" spans="1:6" ht="12.75" hidden="1" customHeight="1">
      <c r="A33" s="1209" t="s">
        <v>189</v>
      </c>
      <c r="B33" s="1218">
        <v>27208</v>
      </c>
      <c r="C33" s="1218">
        <v>62195</v>
      </c>
      <c r="D33" s="1218">
        <v>56762</v>
      </c>
      <c r="E33" s="1219">
        <v>91389</v>
      </c>
      <c r="F33" s="1220">
        <v>237554</v>
      </c>
    </row>
    <row r="34" spans="1:6" ht="12.75" hidden="1" customHeight="1">
      <c r="A34" s="1209" t="s">
        <v>191</v>
      </c>
      <c r="B34" s="1218">
        <v>30970</v>
      </c>
      <c r="C34" s="1218">
        <v>63027</v>
      </c>
      <c r="D34" s="1218">
        <v>59551</v>
      </c>
      <c r="E34" s="1219">
        <v>95533</v>
      </c>
      <c r="F34" s="1220">
        <v>249081</v>
      </c>
    </row>
    <row r="35" spans="1:6" ht="12.75" hidden="1" customHeight="1">
      <c r="A35" s="1209" t="s">
        <v>194</v>
      </c>
      <c r="B35" s="1218">
        <v>29329</v>
      </c>
      <c r="C35" s="1218">
        <v>59754</v>
      </c>
      <c r="D35" s="1218">
        <v>59798</v>
      </c>
      <c r="E35" s="1219">
        <v>84615</v>
      </c>
      <c r="F35" s="1220">
        <v>233496</v>
      </c>
    </row>
    <row r="36" spans="1:6" ht="12.75" hidden="1" customHeight="1">
      <c r="A36" s="1209" t="s">
        <v>196</v>
      </c>
      <c r="B36" s="1218">
        <v>38150</v>
      </c>
      <c r="C36" s="1218">
        <v>56739</v>
      </c>
      <c r="D36" s="1218">
        <v>57980</v>
      </c>
      <c r="E36" s="1219">
        <v>80335</v>
      </c>
      <c r="F36" s="1220">
        <v>233204</v>
      </c>
    </row>
    <row r="37" spans="1:6" ht="12.75" hidden="1" customHeight="1">
      <c r="A37" s="1215" t="s">
        <v>197</v>
      </c>
      <c r="B37" s="1218">
        <v>38750</v>
      </c>
      <c r="C37" s="1218">
        <v>57149</v>
      </c>
      <c r="D37" s="1218">
        <v>56775</v>
      </c>
      <c r="E37" s="1219">
        <v>73823</v>
      </c>
      <c r="F37" s="1220">
        <v>226497</v>
      </c>
    </row>
    <row r="38" spans="1:6" ht="12.75" hidden="1" customHeight="1">
      <c r="A38" s="1215" t="s">
        <v>198</v>
      </c>
      <c r="B38" s="1218">
        <v>34647</v>
      </c>
      <c r="C38" s="1218">
        <v>57446</v>
      </c>
      <c r="D38" s="1218">
        <v>56819</v>
      </c>
      <c r="E38" s="1219">
        <v>67183</v>
      </c>
      <c r="F38" s="1220">
        <v>216095</v>
      </c>
    </row>
    <row r="39" spans="1:6" ht="12.75" hidden="1" customHeight="1">
      <c r="A39" s="1215" t="s">
        <v>199</v>
      </c>
      <c r="B39" s="1218">
        <v>32362</v>
      </c>
      <c r="C39" s="1218">
        <v>55172</v>
      </c>
      <c r="D39" s="1218">
        <v>54880</v>
      </c>
      <c r="E39" s="1219">
        <v>61092</v>
      </c>
      <c r="F39" s="1220">
        <v>203506</v>
      </c>
    </row>
    <row r="40" spans="1:6" ht="12.75" customHeight="1">
      <c r="A40" s="1215" t="s">
        <v>200</v>
      </c>
      <c r="B40" s="1218">
        <v>34742</v>
      </c>
      <c r="C40" s="1218">
        <v>46488</v>
      </c>
      <c r="D40" s="1218">
        <v>53912</v>
      </c>
      <c r="E40" s="1219">
        <v>59879</v>
      </c>
      <c r="F40" s="1220">
        <v>195021</v>
      </c>
    </row>
    <row r="41" spans="1:6" ht="12.75" hidden="1" customHeight="1">
      <c r="A41" s="1215" t="s">
        <v>201</v>
      </c>
      <c r="B41" s="1218">
        <v>32227</v>
      </c>
      <c r="C41" s="1218">
        <v>45143</v>
      </c>
      <c r="D41" s="1218">
        <v>53539</v>
      </c>
      <c r="E41" s="1219">
        <v>55546</v>
      </c>
      <c r="F41" s="1220">
        <v>186455</v>
      </c>
    </row>
    <row r="42" spans="1:6" ht="12.75" hidden="1" customHeight="1">
      <c r="A42" s="1215" t="s">
        <v>202</v>
      </c>
      <c r="B42" s="1218">
        <v>28060</v>
      </c>
      <c r="C42" s="1218">
        <v>41146</v>
      </c>
      <c r="D42" s="1218">
        <v>49600</v>
      </c>
      <c r="E42" s="1219">
        <v>51626</v>
      </c>
      <c r="F42" s="1220">
        <v>170432</v>
      </c>
    </row>
    <row r="43" spans="1:6" ht="12.75" hidden="1" customHeight="1">
      <c r="A43" s="1215" t="s">
        <v>203</v>
      </c>
      <c r="B43" s="1218">
        <v>27601</v>
      </c>
      <c r="C43" s="1218">
        <v>40650</v>
      </c>
      <c r="D43" s="1218">
        <v>51334</v>
      </c>
      <c r="E43" s="1219">
        <v>50934</v>
      </c>
      <c r="F43" s="1220">
        <v>170519</v>
      </c>
    </row>
    <row r="44" spans="1:6" ht="12.75" hidden="1" customHeight="1">
      <c r="A44" s="1215" t="s">
        <v>204</v>
      </c>
      <c r="B44" s="1218">
        <v>30518</v>
      </c>
      <c r="C44" s="1218">
        <v>37609</v>
      </c>
      <c r="D44" s="1218">
        <v>51921</v>
      </c>
      <c r="E44" s="1219">
        <v>46717</v>
      </c>
      <c r="F44" s="1220">
        <v>166765</v>
      </c>
    </row>
    <row r="45" spans="1:6" ht="12.75" hidden="1" customHeight="1">
      <c r="A45" s="1215" t="s">
        <v>205</v>
      </c>
      <c r="B45" s="1218">
        <v>27732</v>
      </c>
      <c r="C45" s="1218">
        <v>36032</v>
      </c>
      <c r="D45" s="1218">
        <v>50151</v>
      </c>
      <c r="E45" s="1219">
        <v>44306</v>
      </c>
      <c r="F45" s="1220">
        <v>158221</v>
      </c>
    </row>
    <row r="46" spans="1:6" ht="12.75" hidden="1" customHeight="1">
      <c r="A46" s="1215" t="s">
        <v>206</v>
      </c>
      <c r="B46" s="1218">
        <v>23507</v>
      </c>
      <c r="C46" s="1218">
        <v>39160</v>
      </c>
      <c r="D46" s="1218">
        <v>54688</v>
      </c>
      <c r="E46" s="1219">
        <v>42442</v>
      </c>
      <c r="F46" s="1220">
        <v>159797</v>
      </c>
    </row>
    <row r="47" spans="1:6" ht="12.75" hidden="1" customHeight="1">
      <c r="A47" s="1215" t="s">
        <v>475</v>
      </c>
      <c r="B47" s="1218">
        <v>34229</v>
      </c>
      <c r="C47" s="1218">
        <v>40589</v>
      </c>
      <c r="D47" s="1218">
        <v>57175</v>
      </c>
      <c r="E47" s="1219">
        <v>39958</v>
      </c>
      <c r="F47" s="1220">
        <v>171951</v>
      </c>
    </row>
    <row r="48" spans="1:6" ht="12.75" hidden="1" customHeight="1">
      <c r="A48" s="1215" t="s">
        <v>207</v>
      </c>
      <c r="B48" s="1218">
        <v>17454</v>
      </c>
      <c r="C48" s="1218">
        <v>37320</v>
      </c>
      <c r="D48" s="1218">
        <v>53199</v>
      </c>
      <c r="E48" s="1219">
        <v>38540</v>
      </c>
      <c r="F48" s="1220">
        <v>146513</v>
      </c>
    </row>
    <row r="49" spans="1:6" ht="12.75" customHeight="1">
      <c r="A49" s="1215" t="s">
        <v>208</v>
      </c>
      <c r="B49" s="1218">
        <v>13364</v>
      </c>
      <c r="C49" s="1221">
        <v>39104</v>
      </c>
      <c r="D49" s="1218">
        <v>53004</v>
      </c>
      <c r="E49" s="1224">
        <v>35570</v>
      </c>
      <c r="F49" s="1220">
        <v>141042</v>
      </c>
    </row>
    <row r="50" spans="1:6" ht="12.75" customHeight="1">
      <c r="A50" s="1215" t="s">
        <v>2</v>
      </c>
      <c r="B50" s="1218">
        <v>17800</v>
      </c>
      <c r="C50" s="1221">
        <v>34926</v>
      </c>
      <c r="D50" s="1218">
        <v>50199</v>
      </c>
      <c r="E50" s="1224">
        <v>30616</v>
      </c>
      <c r="F50" s="1220">
        <v>133541</v>
      </c>
    </row>
    <row r="51" spans="1:6" ht="12.75" customHeight="1">
      <c r="A51" s="1215" t="s">
        <v>1</v>
      </c>
      <c r="B51" s="1218">
        <v>13670</v>
      </c>
      <c r="C51" s="1221">
        <v>25783</v>
      </c>
      <c r="D51" s="1222">
        <v>46530</v>
      </c>
      <c r="E51" s="1223">
        <v>24165</v>
      </c>
      <c r="F51" s="1220">
        <v>110148</v>
      </c>
    </row>
    <row r="52" spans="1:6" ht="12.75" customHeight="1">
      <c r="A52" s="1204" t="s">
        <v>493</v>
      </c>
      <c r="B52" s="1223"/>
      <c r="C52" s="1223"/>
      <c r="D52" s="1223"/>
      <c r="F52" s="1220"/>
    </row>
    <row r="53" spans="1:6" ht="12.75" hidden="1" customHeight="1">
      <c r="A53" s="1209" t="s">
        <v>184</v>
      </c>
      <c r="B53" s="1223">
        <v>77846</v>
      </c>
      <c r="C53" s="1223">
        <v>136302</v>
      </c>
      <c r="D53" s="1223">
        <v>64412</v>
      </c>
      <c r="E53" s="1223">
        <v>68819</v>
      </c>
      <c r="F53" s="1220">
        <v>347379</v>
      </c>
    </row>
    <row r="54" spans="1:6" ht="12.75" hidden="1" customHeight="1">
      <c r="A54" s="1209" t="s">
        <v>185</v>
      </c>
      <c r="B54" s="1223">
        <v>81319</v>
      </c>
      <c r="C54" s="1223">
        <v>140572</v>
      </c>
      <c r="D54" s="1223">
        <v>81319</v>
      </c>
      <c r="E54" s="1223">
        <v>93267</v>
      </c>
      <c r="F54" s="1220">
        <v>396477</v>
      </c>
    </row>
    <row r="55" spans="1:6" ht="12.75" hidden="1" customHeight="1">
      <c r="A55" s="1209" t="s">
        <v>186</v>
      </c>
      <c r="B55" s="1223">
        <v>68292</v>
      </c>
      <c r="C55" s="1223">
        <v>141467</v>
      </c>
      <c r="D55" s="1223">
        <v>72213</v>
      </c>
      <c r="E55" s="1223">
        <v>94108</v>
      </c>
      <c r="F55" s="1220">
        <v>376080</v>
      </c>
    </row>
    <row r="56" spans="1:6" ht="12.75" hidden="1" customHeight="1">
      <c r="A56" s="1209" t="s">
        <v>189</v>
      </c>
      <c r="B56" s="1223">
        <v>67032</v>
      </c>
      <c r="C56" s="1223">
        <v>140144</v>
      </c>
      <c r="D56" s="1223">
        <v>70911</v>
      </c>
      <c r="E56" s="1223">
        <v>101511</v>
      </c>
      <c r="F56" s="1220">
        <v>379598</v>
      </c>
    </row>
    <row r="57" spans="1:6" ht="12.75" hidden="1" customHeight="1">
      <c r="A57" s="1209" t="s">
        <v>191</v>
      </c>
      <c r="B57" s="1223">
        <v>68384</v>
      </c>
      <c r="C57" s="1223">
        <v>140699</v>
      </c>
      <c r="D57" s="1223">
        <v>71582</v>
      </c>
      <c r="E57" s="1223">
        <v>105047</v>
      </c>
      <c r="F57" s="1220">
        <v>385712</v>
      </c>
    </row>
    <row r="58" spans="1:6" ht="12.75" hidden="1" customHeight="1">
      <c r="A58" s="1209" t="s">
        <v>194</v>
      </c>
      <c r="B58" s="1223">
        <v>57796</v>
      </c>
      <c r="C58" s="1223">
        <v>145784</v>
      </c>
      <c r="D58" s="1223">
        <v>68890</v>
      </c>
      <c r="E58" s="1223">
        <v>97757</v>
      </c>
      <c r="F58" s="1220">
        <v>370227</v>
      </c>
    </row>
    <row r="59" spans="1:6" ht="12.75" hidden="1" customHeight="1">
      <c r="A59" s="1209" t="s">
        <v>196</v>
      </c>
      <c r="B59" s="1223">
        <v>55691</v>
      </c>
      <c r="C59" s="1223">
        <v>142404</v>
      </c>
      <c r="D59" s="1223">
        <v>73318</v>
      </c>
      <c r="E59" s="1223">
        <v>86544</v>
      </c>
      <c r="F59" s="1220">
        <v>357957</v>
      </c>
    </row>
    <row r="60" spans="1:6" ht="12.75" hidden="1" customHeight="1">
      <c r="A60" s="1225" t="s">
        <v>197</v>
      </c>
      <c r="B60" s="1223">
        <v>55444</v>
      </c>
      <c r="C60" s="1223">
        <v>136648</v>
      </c>
      <c r="D60" s="1223">
        <v>73363</v>
      </c>
      <c r="E60" s="1223">
        <v>88624</v>
      </c>
      <c r="F60" s="1220">
        <v>354079</v>
      </c>
    </row>
    <row r="61" spans="1:6" ht="12.75" hidden="1" customHeight="1">
      <c r="A61" s="1215" t="s">
        <v>198</v>
      </c>
      <c r="B61" s="1223">
        <v>57887</v>
      </c>
      <c r="C61" s="1218">
        <v>131016</v>
      </c>
      <c r="D61" s="1218">
        <v>76464</v>
      </c>
      <c r="E61" s="1223">
        <v>88252</v>
      </c>
      <c r="F61" s="1220">
        <v>353619</v>
      </c>
    </row>
    <row r="62" spans="1:6" ht="12.75" hidden="1" customHeight="1">
      <c r="A62" s="1215" t="s">
        <v>199</v>
      </c>
      <c r="B62" s="1223">
        <v>60460</v>
      </c>
      <c r="C62" s="1218">
        <v>119811</v>
      </c>
      <c r="D62" s="1218">
        <v>80263</v>
      </c>
      <c r="E62" s="1223">
        <v>82555</v>
      </c>
      <c r="F62" s="1220">
        <v>343089</v>
      </c>
    </row>
    <row r="63" spans="1:6" ht="12.75" customHeight="1">
      <c r="A63" s="1215" t="s">
        <v>200</v>
      </c>
      <c r="B63" s="1223">
        <v>55539</v>
      </c>
      <c r="C63" s="1218">
        <v>123997</v>
      </c>
      <c r="D63" s="1218">
        <v>80143</v>
      </c>
      <c r="E63" s="1223">
        <v>79621</v>
      </c>
      <c r="F63" s="1220">
        <v>339300</v>
      </c>
    </row>
    <row r="64" spans="1:6" ht="12.75" hidden="1" customHeight="1">
      <c r="A64" s="1215" t="s">
        <v>201</v>
      </c>
      <c r="B64" s="1223">
        <v>56012</v>
      </c>
      <c r="C64" s="1218">
        <v>133667</v>
      </c>
      <c r="D64" s="1218">
        <v>84942</v>
      </c>
      <c r="E64" s="1223">
        <v>82771</v>
      </c>
      <c r="F64" s="1220">
        <v>357392</v>
      </c>
    </row>
    <row r="65" spans="1:6" ht="12.75" hidden="1" customHeight="1">
      <c r="A65" s="1215" t="s">
        <v>202</v>
      </c>
      <c r="B65" s="1223">
        <v>58704</v>
      </c>
      <c r="C65" s="1218">
        <v>137392</v>
      </c>
      <c r="D65" s="1218">
        <v>80333</v>
      </c>
      <c r="E65" s="1223">
        <v>78196</v>
      </c>
      <c r="F65" s="1220">
        <v>354625</v>
      </c>
    </row>
    <row r="66" spans="1:6" ht="12.75" hidden="1" customHeight="1">
      <c r="A66" s="1215" t="s">
        <v>203</v>
      </c>
      <c r="B66" s="1223">
        <v>52048</v>
      </c>
      <c r="C66" s="1218">
        <v>131648</v>
      </c>
      <c r="D66" s="1218">
        <v>80818</v>
      </c>
      <c r="E66" s="1223">
        <v>75116</v>
      </c>
      <c r="F66" s="1220">
        <v>339630</v>
      </c>
    </row>
    <row r="67" spans="1:6" ht="12.75" hidden="1" customHeight="1">
      <c r="A67" s="1215" t="s">
        <v>204</v>
      </c>
      <c r="B67" s="1223">
        <v>45060</v>
      </c>
      <c r="C67" s="1218">
        <v>129735</v>
      </c>
      <c r="D67" s="1218">
        <v>88688</v>
      </c>
      <c r="E67" s="1223">
        <v>72419</v>
      </c>
      <c r="F67" s="1220">
        <v>335902</v>
      </c>
    </row>
    <row r="68" spans="1:6" ht="12.75" hidden="1" customHeight="1">
      <c r="A68" s="1215" t="s">
        <v>205</v>
      </c>
      <c r="B68" s="1223">
        <v>52676</v>
      </c>
      <c r="C68" s="1218">
        <v>126596</v>
      </c>
      <c r="D68" s="1218">
        <v>89076</v>
      </c>
      <c r="E68" s="1223">
        <v>79043</v>
      </c>
      <c r="F68" s="1220">
        <v>347391</v>
      </c>
    </row>
    <row r="69" spans="1:6" ht="12.75" hidden="1" customHeight="1">
      <c r="A69" s="1215" t="s">
        <v>206</v>
      </c>
      <c r="B69" s="1223">
        <v>57543</v>
      </c>
      <c r="C69" s="1218">
        <v>126177</v>
      </c>
      <c r="D69" s="1218">
        <v>87475</v>
      </c>
      <c r="E69" s="1223">
        <v>71236</v>
      </c>
      <c r="F69" s="1220">
        <v>342431</v>
      </c>
    </row>
    <row r="70" spans="1:6" ht="12.75" hidden="1" customHeight="1">
      <c r="A70" s="1215" t="s">
        <v>475</v>
      </c>
      <c r="B70" s="1223">
        <v>62049</v>
      </c>
      <c r="C70" s="1218">
        <v>119925</v>
      </c>
      <c r="D70" s="1218">
        <v>86878</v>
      </c>
      <c r="E70" s="1223">
        <v>65520</v>
      </c>
      <c r="F70" s="1220">
        <v>334372</v>
      </c>
    </row>
    <row r="71" spans="1:6" ht="12.75" hidden="1" customHeight="1">
      <c r="A71" s="1215" t="s">
        <v>207</v>
      </c>
      <c r="B71" s="1223">
        <v>67276</v>
      </c>
      <c r="C71" s="1218">
        <v>125064</v>
      </c>
      <c r="D71" s="1218">
        <v>85028</v>
      </c>
      <c r="E71" s="1223">
        <v>65887</v>
      </c>
      <c r="F71" s="1220">
        <v>343255</v>
      </c>
    </row>
    <row r="72" spans="1:6" ht="12.75" customHeight="1">
      <c r="A72" s="1215" t="s">
        <v>208</v>
      </c>
      <c r="B72" s="1223">
        <v>70304</v>
      </c>
      <c r="C72" s="1222">
        <v>129897</v>
      </c>
      <c r="D72" s="1218">
        <v>86321</v>
      </c>
      <c r="E72" s="1224">
        <v>72180</v>
      </c>
      <c r="F72" s="1220">
        <v>358702</v>
      </c>
    </row>
    <row r="73" spans="1:6" ht="12.75" customHeight="1">
      <c r="A73" s="1215" t="s">
        <v>2</v>
      </c>
      <c r="B73" s="1223">
        <v>73098</v>
      </c>
      <c r="C73" s="1222">
        <v>129530</v>
      </c>
      <c r="D73" s="1218">
        <v>89265</v>
      </c>
      <c r="E73" s="1224">
        <v>63758</v>
      </c>
      <c r="F73" s="1220">
        <v>355651</v>
      </c>
    </row>
    <row r="74" spans="1:6" ht="12.75" customHeight="1">
      <c r="A74" s="1215" t="s">
        <v>1</v>
      </c>
      <c r="B74" s="1218">
        <v>78794</v>
      </c>
      <c r="C74" s="1221">
        <v>110322</v>
      </c>
      <c r="D74" s="1222">
        <v>104101</v>
      </c>
      <c r="E74" s="1223">
        <v>57826</v>
      </c>
      <c r="F74" s="1220">
        <v>351043</v>
      </c>
    </row>
    <row r="75" spans="1:6" ht="12.75" customHeight="1">
      <c r="A75" s="1204" t="s">
        <v>494</v>
      </c>
      <c r="B75" s="1226"/>
      <c r="C75" s="1223"/>
      <c r="D75" s="1223"/>
      <c r="F75" s="1220"/>
    </row>
    <row r="76" spans="1:6" ht="12.75" hidden="1" customHeight="1">
      <c r="A76" s="1209" t="s">
        <v>184</v>
      </c>
      <c r="B76" s="1224"/>
      <c r="C76" s="1223"/>
      <c r="D76" s="1223"/>
      <c r="E76" s="1223"/>
      <c r="F76" s="1220">
        <v>62758</v>
      </c>
    </row>
    <row r="77" spans="1:6" ht="12.75" hidden="1" customHeight="1">
      <c r="A77" s="1209" t="s">
        <v>185</v>
      </c>
      <c r="B77" s="1224"/>
      <c r="C77" s="1223"/>
      <c r="D77" s="1223"/>
      <c r="E77" s="1223"/>
      <c r="F77" s="1220">
        <v>62353</v>
      </c>
    </row>
    <row r="78" spans="1:6" ht="12.75" hidden="1" customHeight="1">
      <c r="A78" s="1209" t="s">
        <v>186</v>
      </c>
      <c r="B78" s="1224"/>
      <c r="C78" s="1223"/>
      <c r="D78" s="1223"/>
      <c r="E78" s="1223"/>
      <c r="F78" s="1220">
        <v>58813</v>
      </c>
    </row>
    <row r="79" spans="1:6" ht="12.75" hidden="1" customHeight="1">
      <c r="A79" s="1209" t="s">
        <v>189</v>
      </c>
      <c r="B79" s="1224"/>
      <c r="C79" s="1223"/>
      <c r="D79" s="1223"/>
      <c r="E79" s="1223"/>
      <c r="F79" s="1220">
        <v>56118</v>
      </c>
    </row>
    <row r="80" spans="1:6" ht="12.75" hidden="1" customHeight="1">
      <c r="A80" s="1209" t="s">
        <v>191</v>
      </c>
      <c r="B80" s="1224"/>
      <c r="C80" s="1223"/>
      <c r="D80" s="1223"/>
      <c r="E80" s="1223"/>
      <c r="F80" s="1220">
        <v>59611</v>
      </c>
    </row>
    <row r="81" spans="1:6" ht="12.75" hidden="1" customHeight="1">
      <c r="A81" s="1209" t="s">
        <v>194</v>
      </c>
      <c r="B81" s="1224"/>
      <c r="C81" s="1223"/>
      <c r="D81" s="1223"/>
      <c r="E81" s="1223"/>
      <c r="F81" s="1220">
        <v>62491</v>
      </c>
    </row>
    <row r="82" spans="1:6" ht="12.75" hidden="1" customHeight="1">
      <c r="A82" s="1209" t="s">
        <v>196</v>
      </c>
      <c r="B82" s="1224"/>
      <c r="C82" s="1223"/>
      <c r="D82" s="1223"/>
      <c r="E82" s="1223"/>
      <c r="F82" s="1220">
        <v>60979</v>
      </c>
    </row>
    <row r="83" spans="1:6" ht="12.75" hidden="1" customHeight="1">
      <c r="A83" s="1225" t="s">
        <v>197</v>
      </c>
      <c r="B83" s="1224"/>
      <c r="C83" s="1223"/>
      <c r="D83" s="1223"/>
      <c r="E83" s="1223"/>
      <c r="F83" s="1220">
        <v>55773</v>
      </c>
    </row>
    <row r="84" spans="1:6" ht="12.75" hidden="1" customHeight="1">
      <c r="A84" s="1215" t="s">
        <v>198</v>
      </c>
      <c r="B84" s="1224">
        <v>9937</v>
      </c>
      <c r="C84" s="1218">
        <v>16497</v>
      </c>
      <c r="D84" s="1218">
        <v>19300</v>
      </c>
      <c r="E84" s="1223">
        <v>7212</v>
      </c>
      <c r="F84" s="1220">
        <v>52946</v>
      </c>
    </row>
    <row r="85" spans="1:6" ht="12.75" hidden="1" customHeight="1">
      <c r="A85" s="1215" t="s">
        <v>199</v>
      </c>
      <c r="B85" s="1224">
        <v>9968</v>
      </c>
      <c r="C85" s="1218">
        <v>14450</v>
      </c>
      <c r="D85" s="1218">
        <v>19643</v>
      </c>
      <c r="E85" s="1223">
        <v>15663</v>
      </c>
      <c r="F85" s="1220">
        <v>59724</v>
      </c>
    </row>
    <row r="86" spans="1:6" ht="12.75" customHeight="1">
      <c r="A86" s="1215" t="s">
        <v>200</v>
      </c>
      <c r="B86" s="1224">
        <v>8215</v>
      </c>
      <c r="C86" s="1218">
        <v>18133</v>
      </c>
      <c r="D86" s="1218">
        <v>21718</v>
      </c>
      <c r="E86" s="1223">
        <v>20211</v>
      </c>
      <c r="F86" s="1220">
        <v>68277</v>
      </c>
    </row>
    <row r="87" spans="1:6" ht="12.75" hidden="1" customHeight="1">
      <c r="A87" s="1215" t="s">
        <v>201</v>
      </c>
      <c r="B87" s="1224">
        <v>7478</v>
      </c>
      <c r="C87" s="1218">
        <v>17054</v>
      </c>
      <c r="D87" s="1218">
        <v>20477</v>
      </c>
      <c r="E87" s="1223">
        <v>17443</v>
      </c>
      <c r="F87" s="1220">
        <v>62452</v>
      </c>
    </row>
    <row r="88" spans="1:6" ht="12.75" hidden="1" customHeight="1">
      <c r="A88" s="1215" t="s">
        <v>202</v>
      </c>
      <c r="B88" s="1224">
        <v>9551</v>
      </c>
      <c r="C88" s="1218">
        <v>12780</v>
      </c>
      <c r="D88" s="1218">
        <v>20839</v>
      </c>
      <c r="E88" s="1223">
        <v>19116</v>
      </c>
      <c r="F88" s="1220">
        <v>62286</v>
      </c>
    </row>
    <row r="89" spans="1:6" ht="12.75" hidden="1" customHeight="1">
      <c r="A89" s="1215" t="s">
        <v>203</v>
      </c>
      <c r="B89" s="1224">
        <v>9763</v>
      </c>
      <c r="C89" s="1218">
        <v>13214</v>
      </c>
      <c r="D89" s="1218">
        <v>18504</v>
      </c>
      <c r="E89" s="1223">
        <v>23496</v>
      </c>
      <c r="F89" s="1220">
        <v>64977</v>
      </c>
    </row>
    <row r="90" spans="1:6" ht="12.75" hidden="1" customHeight="1">
      <c r="A90" s="1215" t="s">
        <v>204</v>
      </c>
      <c r="B90" s="1224">
        <v>7660</v>
      </c>
      <c r="C90" s="1218">
        <v>12805</v>
      </c>
      <c r="D90" s="1218">
        <v>18629</v>
      </c>
      <c r="E90" s="1223">
        <v>25602</v>
      </c>
      <c r="F90" s="1220">
        <v>64696</v>
      </c>
    </row>
    <row r="91" spans="1:6" ht="12.75" hidden="1" customHeight="1">
      <c r="A91" s="1215" t="s">
        <v>205</v>
      </c>
      <c r="B91" s="1224">
        <v>11959</v>
      </c>
      <c r="C91" s="1218">
        <v>10163</v>
      </c>
      <c r="D91" s="1218">
        <v>17510</v>
      </c>
      <c r="E91" s="1223">
        <v>24703</v>
      </c>
      <c r="F91" s="1220">
        <v>64335</v>
      </c>
    </row>
    <row r="92" spans="1:6" ht="12.75" hidden="1" customHeight="1">
      <c r="A92" s="1215" t="s">
        <v>206</v>
      </c>
      <c r="B92" s="1224">
        <v>18668</v>
      </c>
      <c r="C92" s="1218">
        <v>9728</v>
      </c>
      <c r="D92" s="1218">
        <v>20473</v>
      </c>
      <c r="E92" s="1223">
        <v>29300</v>
      </c>
      <c r="F92" s="1220">
        <v>78169</v>
      </c>
    </row>
    <row r="93" spans="1:6" ht="12.75" hidden="1" customHeight="1">
      <c r="A93" s="1215" t="s">
        <v>475</v>
      </c>
      <c r="B93" s="1224">
        <v>15446</v>
      </c>
      <c r="C93" s="1218">
        <v>7987</v>
      </c>
      <c r="D93" s="1218">
        <v>20861</v>
      </c>
      <c r="E93" s="1223">
        <v>31798</v>
      </c>
      <c r="F93" s="1220">
        <v>76092</v>
      </c>
    </row>
    <row r="94" spans="1:6" ht="12.75" hidden="1" customHeight="1">
      <c r="A94" s="1215" t="s">
        <v>207</v>
      </c>
      <c r="B94" s="1224">
        <v>11412</v>
      </c>
      <c r="C94" s="1218">
        <v>9030</v>
      </c>
      <c r="D94" s="1218">
        <v>18081</v>
      </c>
      <c r="E94" s="1223">
        <v>28238</v>
      </c>
      <c r="F94" s="1220">
        <v>66761</v>
      </c>
    </row>
    <row r="95" spans="1:6" ht="12.75" customHeight="1">
      <c r="A95" s="1215" t="s">
        <v>208</v>
      </c>
      <c r="B95" s="1224">
        <v>8837</v>
      </c>
      <c r="C95" s="1222">
        <v>9578</v>
      </c>
      <c r="D95" s="1218">
        <v>14941</v>
      </c>
      <c r="E95" s="1224">
        <v>19835</v>
      </c>
      <c r="F95" s="1220">
        <v>53191</v>
      </c>
    </row>
    <row r="96" spans="1:6" ht="12.75" customHeight="1">
      <c r="A96" s="1215" t="s">
        <v>2</v>
      </c>
      <c r="B96" s="1223">
        <v>5733</v>
      </c>
      <c r="C96" s="1222">
        <v>8714</v>
      </c>
      <c r="D96" s="1218">
        <v>17120</v>
      </c>
      <c r="E96" s="1224">
        <v>14979</v>
      </c>
      <c r="F96" s="1220">
        <v>46546</v>
      </c>
    </row>
    <row r="97" spans="1:6" ht="12.75" customHeight="1">
      <c r="A97" s="1215" t="s">
        <v>1</v>
      </c>
      <c r="B97" s="1218">
        <v>3172</v>
      </c>
      <c r="C97" s="1221">
        <v>8694</v>
      </c>
      <c r="D97" s="1222">
        <v>16904</v>
      </c>
      <c r="E97" s="1223">
        <v>13700</v>
      </c>
      <c r="F97" s="1220">
        <v>42470</v>
      </c>
    </row>
    <row r="98" spans="1:6" ht="12.75" customHeight="1">
      <c r="A98" s="1204" t="s">
        <v>495</v>
      </c>
      <c r="B98" s="1224"/>
      <c r="C98" s="1223"/>
      <c r="D98" s="1223"/>
      <c r="F98" s="1220"/>
    </row>
    <row r="99" spans="1:6" ht="12.75" hidden="1" customHeight="1">
      <c r="A99" s="1209" t="s">
        <v>184</v>
      </c>
      <c r="B99" s="1224">
        <v>6560</v>
      </c>
      <c r="C99" s="1223">
        <v>1318</v>
      </c>
      <c r="D99" s="1223">
        <v>3261</v>
      </c>
      <c r="E99" s="1223">
        <v>261</v>
      </c>
      <c r="F99" s="1220">
        <v>11400</v>
      </c>
    </row>
    <row r="100" spans="1:6" ht="12.75" hidden="1" customHeight="1">
      <c r="A100" s="1209" t="s">
        <v>185</v>
      </c>
      <c r="B100" s="1224">
        <v>6306</v>
      </c>
      <c r="C100" s="1223">
        <v>1696</v>
      </c>
      <c r="D100" s="1223">
        <v>2618</v>
      </c>
      <c r="E100" s="1223">
        <v>678</v>
      </c>
      <c r="F100" s="1220">
        <v>11298</v>
      </c>
    </row>
    <row r="101" spans="1:6" ht="12.75" hidden="1" customHeight="1">
      <c r="A101" s="1209" t="s">
        <v>186</v>
      </c>
      <c r="B101" s="1224">
        <v>4385</v>
      </c>
      <c r="C101" s="1223">
        <v>1809</v>
      </c>
      <c r="D101" s="1223">
        <v>2244</v>
      </c>
      <c r="E101" s="1223">
        <v>604</v>
      </c>
      <c r="F101" s="1220">
        <v>9042</v>
      </c>
    </row>
    <row r="102" spans="1:6" ht="12.75" hidden="1" customHeight="1">
      <c r="A102" s="1209" t="s">
        <v>189</v>
      </c>
      <c r="B102" s="1224">
        <v>4424</v>
      </c>
      <c r="C102" s="1223">
        <v>1233</v>
      </c>
      <c r="D102" s="1223">
        <v>1563</v>
      </c>
      <c r="E102" s="1223">
        <v>934</v>
      </c>
      <c r="F102" s="1220">
        <v>8154</v>
      </c>
    </row>
    <row r="103" spans="1:6" ht="12.75" hidden="1" customHeight="1">
      <c r="A103" s="1209" t="s">
        <v>191</v>
      </c>
      <c r="B103" s="1224">
        <v>5033</v>
      </c>
      <c r="C103" s="1223">
        <v>1631</v>
      </c>
      <c r="D103" s="1223">
        <v>1959</v>
      </c>
      <c r="E103" s="1223">
        <v>1150</v>
      </c>
      <c r="F103" s="1220">
        <v>9773</v>
      </c>
    </row>
    <row r="104" spans="1:6" ht="12.75" hidden="1" customHeight="1">
      <c r="A104" s="1209" t="s">
        <v>194</v>
      </c>
      <c r="B104" s="1224">
        <v>4687</v>
      </c>
      <c r="C104" s="1223">
        <v>2228</v>
      </c>
      <c r="D104" s="1223">
        <v>1429</v>
      </c>
      <c r="E104" s="1223">
        <v>1024</v>
      </c>
      <c r="F104" s="1220">
        <v>9368</v>
      </c>
    </row>
    <row r="105" spans="1:6" ht="12.75" hidden="1" customHeight="1">
      <c r="A105" s="1209" t="s">
        <v>196</v>
      </c>
      <c r="B105" s="1224">
        <v>5418</v>
      </c>
      <c r="C105" s="1223">
        <v>2179</v>
      </c>
      <c r="D105" s="1223">
        <v>1576</v>
      </c>
      <c r="E105" s="1223">
        <v>1010</v>
      </c>
      <c r="F105" s="1220">
        <v>10183</v>
      </c>
    </row>
    <row r="106" spans="1:6" ht="12.75" hidden="1" customHeight="1">
      <c r="A106" s="1225" t="s">
        <v>197</v>
      </c>
      <c r="B106" s="1224">
        <v>5624</v>
      </c>
      <c r="C106" s="1223">
        <v>2795</v>
      </c>
      <c r="D106" s="1223">
        <v>2607</v>
      </c>
      <c r="E106" s="1223">
        <v>756</v>
      </c>
      <c r="F106" s="1220">
        <v>11782</v>
      </c>
    </row>
    <row r="107" spans="1:6" ht="12.75" hidden="1" customHeight="1">
      <c r="A107" s="1215" t="s">
        <v>198</v>
      </c>
      <c r="B107" s="1222">
        <v>4103</v>
      </c>
      <c r="C107" s="1227">
        <v>2473</v>
      </c>
      <c r="D107" s="1218">
        <v>3097</v>
      </c>
      <c r="E107" s="1223">
        <v>739</v>
      </c>
      <c r="F107" s="1220">
        <v>10412</v>
      </c>
    </row>
    <row r="108" spans="1:6" ht="12.75" hidden="1" customHeight="1">
      <c r="A108" s="1215" t="s">
        <v>199</v>
      </c>
      <c r="B108" s="1222">
        <v>2968</v>
      </c>
      <c r="C108" s="1227">
        <v>3262</v>
      </c>
      <c r="D108" s="1218">
        <v>3041</v>
      </c>
      <c r="E108" s="1223">
        <v>1674</v>
      </c>
      <c r="F108" s="1220">
        <v>10945</v>
      </c>
    </row>
    <row r="109" spans="1:6" ht="12.75" customHeight="1">
      <c r="A109" s="1215" t="s">
        <v>200</v>
      </c>
      <c r="B109" s="1222">
        <v>2967</v>
      </c>
      <c r="C109" s="1227">
        <v>1686</v>
      </c>
      <c r="D109" s="1218">
        <v>4126</v>
      </c>
      <c r="E109" s="1223">
        <v>3270</v>
      </c>
      <c r="F109" s="1220">
        <v>12049</v>
      </c>
    </row>
    <row r="110" spans="1:6" ht="12.75" hidden="1" customHeight="1">
      <c r="A110" s="1215" t="s">
        <v>201</v>
      </c>
      <c r="B110" s="1222">
        <v>2865</v>
      </c>
      <c r="C110" s="1227">
        <v>1590</v>
      </c>
      <c r="D110" s="1218">
        <v>3556</v>
      </c>
      <c r="E110" s="1223">
        <v>3075</v>
      </c>
      <c r="F110" s="1220">
        <v>11086</v>
      </c>
    </row>
    <row r="111" spans="1:6" ht="12.75" hidden="1" customHeight="1">
      <c r="A111" s="1215" t="s">
        <v>202</v>
      </c>
      <c r="B111" s="1222">
        <v>3744</v>
      </c>
      <c r="C111" s="1227">
        <v>2175</v>
      </c>
      <c r="D111" s="1218">
        <v>3080</v>
      </c>
      <c r="E111" s="1223">
        <v>2955</v>
      </c>
      <c r="F111" s="1220">
        <v>11954</v>
      </c>
    </row>
    <row r="112" spans="1:6" ht="12.75" hidden="1" customHeight="1">
      <c r="A112" s="1215" t="s">
        <v>203</v>
      </c>
      <c r="B112" s="1222">
        <v>5251</v>
      </c>
      <c r="C112" s="1227">
        <v>2603</v>
      </c>
      <c r="D112" s="1218">
        <v>2791</v>
      </c>
      <c r="E112" s="1223">
        <v>2976</v>
      </c>
      <c r="F112" s="1220">
        <v>13621</v>
      </c>
    </row>
    <row r="113" spans="1:6" ht="12.75" hidden="1" customHeight="1">
      <c r="A113" s="1215" t="s">
        <v>204</v>
      </c>
      <c r="B113" s="1222">
        <v>3563</v>
      </c>
      <c r="C113" s="1227">
        <v>3076</v>
      </c>
      <c r="D113" s="1218">
        <v>2976</v>
      </c>
      <c r="E113" s="1223">
        <v>2518</v>
      </c>
      <c r="F113" s="1220">
        <v>12133</v>
      </c>
    </row>
    <row r="114" spans="1:6" ht="12.75" hidden="1" customHeight="1">
      <c r="A114" s="1215" t="s">
        <v>205</v>
      </c>
      <c r="B114" s="1222">
        <v>3968</v>
      </c>
      <c r="C114" s="1227">
        <v>2254</v>
      </c>
      <c r="D114" s="1218">
        <v>2593</v>
      </c>
      <c r="E114" s="1223">
        <v>2278</v>
      </c>
      <c r="F114" s="1220">
        <v>11093</v>
      </c>
    </row>
    <row r="115" spans="1:6" ht="12.75" hidden="1" customHeight="1">
      <c r="A115" s="1215" t="s">
        <v>206</v>
      </c>
      <c r="B115" s="1222">
        <v>5742</v>
      </c>
      <c r="C115" s="1227">
        <v>2901</v>
      </c>
      <c r="D115" s="1218">
        <v>1785</v>
      </c>
      <c r="E115" s="1223">
        <v>2438</v>
      </c>
      <c r="F115" s="1220">
        <v>12866</v>
      </c>
    </row>
    <row r="116" spans="1:6" ht="12.75" hidden="1" customHeight="1">
      <c r="A116" s="1215" t="s">
        <v>475</v>
      </c>
      <c r="B116" s="1222">
        <v>2458</v>
      </c>
      <c r="C116" s="1227">
        <v>2073</v>
      </c>
      <c r="D116" s="1218">
        <v>1235</v>
      </c>
      <c r="E116" s="1223">
        <v>2482</v>
      </c>
      <c r="F116" s="1220">
        <v>8248</v>
      </c>
    </row>
    <row r="117" spans="1:6" ht="12.75" hidden="1" customHeight="1">
      <c r="A117" s="1215" t="s">
        <v>207</v>
      </c>
      <c r="B117" s="1222">
        <v>1769</v>
      </c>
      <c r="C117" s="1227">
        <v>3132</v>
      </c>
      <c r="D117" s="1218">
        <v>1742</v>
      </c>
      <c r="E117" s="1228">
        <v>1013</v>
      </c>
      <c r="F117" s="1220">
        <v>7656</v>
      </c>
    </row>
    <row r="118" spans="1:6" ht="12.75" customHeight="1">
      <c r="A118" s="1215" t="s">
        <v>208</v>
      </c>
      <c r="B118" s="1222">
        <v>1537</v>
      </c>
      <c r="C118" s="1221">
        <v>2631</v>
      </c>
      <c r="D118" s="1222">
        <v>2057</v>
      </c>
      <c r="E118" s="1223">
        <v>1109</v>
      </c>
      <c r="F118" s="1220">
        <v>7334</v>
      </c>
    </row>
    <row r="119" spans="1:6" ht="12.75" customHeight="1">
      <c r="A119" s="1215" t="s">
        <v>2</v>
      </c>
      <c r="B119" s="1218">
        <v>1581</v>
      </c>
      <c r="C119" s="1221">
        <v>2232</v>
      </c>
      <c r="D119" s="1222">
        <v>1309</v>
      </c>
      <c r="E119" s="1223">
        <v>872</v>
      </c>
      <c r="F119" s="1220">
        <v>5994</v>
      </c>
    </row>
    <row r="120" spans="1:6" ht="12.75" customHeight="1">
      <c r="A120" s="1215" t="s">
        <v>1</v>
      </c>
      <c r="B120" s="1218">
        <v>1241</v>
      </c>
      <c r="C120" s="1221">
        <v>1528</v>
      </c>
      <c r="D120" s="1222">
        <v>1374</v>
      </c>
      <c r="E120" s="1223">
        <v>686</v>
      </c>
      <c r="F120" s="1220">
        <v>4829</v>
      </c>
    </row>
    <row r="121" spans="1:6" ht="12.75" customHeight="1">
      <c r="A121" s="1204" t="s">
        <v>481</v>
      </c>
      <c r="B121" s="1224"/>
      <c r="C121" s="1223"/>
      <c r="D121" s="1223"/>
      <c r="E121" s="1223"/>
      <c r="F121" s="1220"/>
    </row>
    <row r="122" spans="1:6" ht="12.75" hidden="1" customHeight="1">
      <c r="A122" s="1209" t="s">
        <v>184</v>
      </c>
      <c r="B122" s="1224">
        <v>72983</v>
      </c>
      <c r="C122" s="1223">
        <v>19152</v>
      </c>
      <c r="D122" s="1223">
        <v>26671</v>
      </c>
      <c r="E122" s="1223">
        <v>3386</v>
      </c>
      <c r="F122" s="1220">
        <v>122192</v>
      </c>
    </row>
    <row r="123" spans="1:6" ht="12.75" hidden="1" customHeight="1">
      <c r="A123" s="1209" t="s">
        <v>185</v>
      </c>
      <c r="B123" s="1224">
        <v>69524</v>
      </c>
      <c r="C123" s="1223">
        <v>18600</v>
      </c>
      <c r="D123" s="1223">
        <v>20825</v>
      </c>
      <c r="E123" s="1223">
        <v>5485</v>
      </c>
      <c r="F123" s="1220">
        <v>114434</v>
      </c>
    </row>
    <row r="124" spans="1:6" ht="12.75" hidden="1" customHeight="1">
      <c r="A124" s="1209" t="s">
        <v>186</v>
      </c>
      <c r="B124" s="1224">
        <v>70862</v>
      </c>
      <c r="C124" s="1223">
        <v>23566</v>
      </c>
      <c r="D124" s="1223">
        <v>17571</v>
      </c>
      <c r="E124" s="1223">
        <v>4682</v>
      </c>
      <c r="F124" s="1220">
        <v>116681</v>
      </c>
    </row>
    <row r="125" spans="1:6" ht="12.75" hidden="1" customHeight="1">
      <c r="A125" s="1209" t="s">
        <v>189</v>
      </c>
      <c r="B125" s="1224">
        <v>71560</v>
      </c>
      <c r="C125" s="1223">
        <v>24072</v>
      </c>
      <c r="D125" s="1223">
        <v>21525</v>
      </c>
      <c r="E125" s="1223">
        <v>4753</v>
      </c>
      <c r="F125" s="1220">
        <v>121910</v>
      </c>
    </row>
    <row r="126" spans="1:6" ht="12.75" hidden="1" customHeight="1">
      <c r="A126" s="1209" t="s">
        <v>191</v>
      </c>
      <c r="B126" s="1224">
        <v>67515</v>
      </c>
      <c r="C126" s="1223">
        <v>23898</v>
      </c>
      <c r="D126" s="1223">
        <v>22209</v>
      </c>
      <c r="E126" s="1223">
        <v>3672</v>
      </c>
      <c r="F126" s="1220">
        <v>117294</v>
      </c>
    </row>
    <row r="127" spans="1:6" ht="12.75" hidden="1" customHeight="1">
      <c r="A127" s="1209" t="s">
        <v>194</v>
      </c>
      <c r="B127" s="1224">
        <v>75261</v>
      </c>
      <c r="C127" s="1223">
        <v>25160</v>
      </c>
      <c r="D127" s="1223">
        <v>21248</v>
      </c>
      <c r="E127" s="1223">
        <v>3476</v>
      </c>
      <c r="F127" s="1220">
        <v>125145</v>
      </c>
    </row>
    <row r="128" spans="1:6" ht="12.75" hidden="1" customHeight="1">
      <c r="A128" s="1209" t="s">
        <v>196</v>
      </c>
      <c r="B128" s="1224">
        <v>77400</v>
      </c>
      <c r="C128" s="1223">
        <v>25139</v>
      </c>
      <c r="D128" s="1223">
        <v>19962</v>
      </c>
      <c r="E128" s="1223">
        <v>3950</v>
      </c>
      <c r="F128" s="1220">
        <v>126451</v>
      </c>
    </row>
    <row r="129" spans="1:6" ht="12.75" hidden="1" customHeight="1">
      <c r="A129" s="1225" t="s">
        <v>197</v>
      </c>
      <c r="B129" s="1224">
        <v>76824</v>
      </c>
      <c r="C129" s="1223">
        <v>25219</v>
      </c>
      <c r="D129" s="1223">
        <v>16182</v>
      </c>
      <c r="E129" s="1223">
        <v>3634</v>
      </c>
      <c r="F129" s="1220">
        <v>121859</v>
      </c>
    </row>
    <row r="130" spans="1:6" ht="12.75" hidden="1" customHeight="1">
      <c r="A130" s="1215" t="s">
        <v>198</v>
      </c>
      <c r="B130" s="1224">
        <v>78474</v>
      </c>
      <c r="C130" s="1218">
        <v>24011</v>
      </c>
      <c r="D130" s="1218">
        <v>15396</v>
      </c>
      <c r="E130" s="1223">
        <v>5678</v>
      </c>
      <c r="F130" s="1220">
        <v>123559</v>
      </c>
    </row>
    <row r="131" spans="1:6" ht="12.75" hidden="1" customHeight="1">
      <c r="A131" s="1215" t="s">
        <v>199</v>
      </c>
      <c r="B131" s="1224">
        <v>71367</v>
      </c>
      <c r="C131" s="1218">
        <v>23907</v>
      </c>
      <c r="D131" s="1218">
        <v>13650</v>
      </c>
      <c r="E131" s="1223">
        <v>9612</v>
      </c>
      <c r="F131" s="1220">
        <v>118536</v>
      </c>
    </row>
    <row r="132" spans="1:6" ht="12.75" customHeight="1">
      <c r="A132" s="1215" t="s">
        <v>200</v>
      </c>
      <c r="B132" s="1224">
        <v>62168</v>
      </c>
      <c r="C132" s="1218">
        <v>26514</v>
      </c>
      <c r="D132" s="1218">
        <v>10781</v>
      </c>
      <c r="E132" s="1223">
        <v>9926</v>
      </c>
      <c r="F132" s="1220">
        <v>109389</v>
      </c>
    </row>
    <row r="133" spans="1:6" ht="12.75" hidden="1" customHeight="1">
      <c r="A133" s="1215" t="s">
        <v>201</v>
      </c>
      <c r="B133" s="1224">
        <v>61914</v>
      </c>
      <c r="C133" s="1218">
        <v>25792</v>
      </c>
      <c r="D133" s="1218">
        <v>10303</v>
      </c>
      <c r="E133" s="1223">
        <v>10052</v>
      </c>
      <c r="F133" s="1220">
        <v>108061</v>
      </c>
    </row>
    <row r="134" spans="1:6" ht="12.75" hidden="1" customHeight="1">
      <c r="A134" s="1215" t="s">
        <v>202</v>
      </c>
      <c r="B134" s="1224">
        <v>64669</v>
      </c>
      <c r="C134" s="1218">
        <v>24227</v>
      </c>
      <c r="D134" s="1218">
        <v>10267</v>
      </c>
      <c r="E134" s="1223">
        <v>11738</v>
      </c>
      <c r="F134" s="1220">
        <v>110901</v>
      </c>
    </row>
    <row r="135" spans="1:6" ht="12.75" hidden="1" customHeight="1">
      <c r="A135" s="1215" t="s">
        <v>203</v>
      </c>
      <c r="B135" s="1224">
        <v>62927</v>
      </c>
      <c r="C135" s="1218">
        <v>24440</v>
      </c>
      <c r="D135" s="1218">
        <v>11035</v>
      </c>
      <c r="E135" s="1223">
        <v>9833</v>
      </c>
      <c r="F135" s="1220">
        <v>108235</v>
      </c>
    </row>
    <row r="136" spans="1:6" ht="12.75" hidden="1" customHeight="1">
      <c r="A136" s="1215" t="s">
        <v>204</v>
      </c>
      <c r="B136" s="1224">
        <v>55837</v>
      </c>
      <c r="C136" s="1218">
        <v>30301</v>
      </c>
      <c r="D136" s="1218">
        <v>11432</v>
      </c>
      <c r="E136" s="1223">
        <v>8845</v>
      </c>
      <c r="F136" s="1220">
        <v>106415</v>
      </c>
    </row>
    <row r="137" spans="1:6" ht="12.75" hidden="1" customHeight="1">
      <c r="A137" s="1215" t="s">
        <v>205</v>
      </c>
      <c r="B137" s="1224">
        <v>58949</v>
      </c>
      <c r="C137" s="1218">
        <v>31886</v>
      </c>
      <c r="D137" s="1218">
        <v>10806</v>
      </c>
      <c r="E137" s="1223">
        <v>7620</v>
      </c>
      <c r="F137" s="1220">
        <v>109261</v>
      </c>
    </row>
    <row r="138" spans="1:6" ht="12.75" hidden="1" customHeight="1">
      <c r="A138" s="1215" t="s">
        <v>206</v>
      </c>
      <c r="B138" s="1224">
        <v>63059</v>
      </c>
      <c r="C138" s="1218">
        <v>31701</v>
      </c>
      <c r="D138" s="1218">
        <v>11974</v>
      </c>
      <c r="E138" s="1223">
        <v>9054</v>
      </c>
      <c r="F138" s="1220">
        <v>115788</v>
      </c>
    </row>
    <row r="139" spans="1:6" ht="12.75" hidden="1" customHeight="1">
      <c r="A139" s="1215" t="s">
        <v>475</v>
      </c>
      <c r="B139" s="1224">
        <v>59118</v>
      </c>
      <c r="C139" s="1218">
        <v>31834</v>
      </c>
      <c r="D139" s="1218">
        <v>12018</v>
      </c>
      <c r="E139" s="1223">
        <v>11459</v>
      </c>
      <c r="F139" s="1220">
        <v>114429</v>
      </c>
    </row>
    <row r="140" spans="1:6" ht="12.75" hidden="1" customHeight="1">
      <c r="A140" s="1215" t="s">
        <v>207</v>
      </c>
      <c r="B140" s="1224">
        <v>47490</v>
      </c>
      <c r="C140" s="1218">
        <v>29929</v>
      </c>
      <c r="D140" s="1218">
        <v>8213</v>
      </c>
      <c r="E140" s="1223">
        <v>14215</v>
      </c>
      <c r="F140" s="1220">
        <v>99847</v>
      </c>
    </row>
    <row r="141" spans="1:6" ht="12.75" customHeight="1">
      <c r="A141" s="1215" t="s">
        <v>208</v>
      </c>
      <c r="B141" s="1224">
        <v>49747</v>
      </c>
      <c r="C141" s="1222">
        <v>32334</v>
      </c>
      <c r="D141" s="1222">
        <v>8990</v>
      </c>
      <c r="E141" s="1223">
        <v>18692</v>
      </c>
      <c r="F141" s="1220">
        <v>109763</v>
      </c>
    </row>
    <row r="142" spans="1:6" ht="12.75" customHeight="1">
      <c r="A142" s="1215" t="s">
        <v>2</v>
      </c>
      <c r="B142" s="1223">
        <v>55954</v>
      </c>
      <c r="C142" s="1222">
        <v>40181</v>
      </c>
      <c r="D142" s="1222">
        <v>10181</v>
      </c>
      <c r="E142" s="1223">
        <v>20589</v>
      </c>
      <c r="F142" s="1220">
        <v>126905</v>
      </c>
    </row>
    <row r="143" spans="1:6" ht="12.75" customHeight="1">
      <c r="A143" s="1215" t="s">
        <v>1</v>
      </c>
      <c r="B143" s="1218">
        <v>52660</v>
      </c>
      <c r="C143" s="1221">
        <v>44034</v>
      </c>
      <c r="D143" s="1222">
        <v>7661</v>
      </c>
      <c r="E143" s="1223">
        <v>24237</v>
      </c>
      <c r="F143" s="1220">
        <v>128592</v>
      </c>
    </row>
    <row r="144" spans="1:6" ht="12.75" customHeight="1">
      <c r="A144" s="1204" t="s">
        <v>496</v>
      </c>
      <c r="B144" s="1226"/>
      <c r="C144" s="1223"/>
      <c r="D144" s="1223"/>
      <c r="E144" s="1223"/>
      <c r="F144" s="1220"/>
    </row>
    <row r="145" spans="1:6" ht="12.75" hidden="1" customHeight="1">
      <c r="A145" s="1209" t="s">
        <v>184</v>
      </c>
      <c r="B145" s="1224"/>
      <c r="C145" s="1223"/>
      <c r="D145" s="1223"/>
      <c r="E145" s="1223"/>
      <c r="F145" s="1220">
        <v>78063</v>
      </c>
    </row>
    <row r="146" spans="1:6" ht="12.75" hidden="1" customHeight="1">
      <c r="A146" s="1209" t="s">
        <v>185</v>
      </c>
      <c r="B146" s="1224"/>
      <c r="C146" s="1223"/>
      <c r="D146" s="1223"/>
      <c r="E146" s="1223"/>
      <c r="F146" s="1220">
        <v>82552</v>
      </c>
    </row>
    <row r="147" spans="1:6" ht="12.75" hidden="1" customHeight="1">
      <c r="A147" s="1209" t="s">
        <v>186</v>
      </c>
      <c r="B147" s="1224"/>
      <c r="C147" s="1223"/>
      <c r="D147" s="1223"/>
      <c r="E147" s="1223"/>
      <c r="F147" s="1220">
        <v>80786</v>
      </c>
    </row>
    <row r="148" spans="1:6" ht="12.75" hidden="1" customHeight="1">
      <c r="A148" s="1209" t="s">
        <v>189</v>
      </c>
      <c r="B148" s="1224"/>
      <c r="C148" s="1223"/>
      <c r="D148" s="1223"/>
      <c r="E148" s="1223"/>
      <c r="F148" s="1220">
        <v>67620</v>
      </c>
    </row>
    <row r="149" spans="1:6" ht="12.75" hidden="1" customHeight="1">
      <c r="A149" s="1209" t="s">
        <v>191</v>
      </c>
      <c r="B149" s="1224"/>
      <c r="C149" s="1223"/>
      <c r="D149" s="1223"/>
      <c r="E149" s="1223"/>
      <c r="F149" s="1220">
        <v>59932</v>
      </c>
    </row>
    <row r="150" spans="1:6" ht="12.75" hidden="1" customHeight="1">
      <c r="A150" s="1209" t="s">
        <v>194</v>
      </c>
      <c r="B150" s="1224"/>
      <c r="C150" s="1223"/>
      <c r="D150" s="1223"/>
      <c r="E150" s="1223"/>
      <c r="F150" s="1220">
        <v>59780</v>
      </c>
    </row>
    <row r="151" spans="1:6" ht="12.75" hidden="1" customHeight="1">
      <c r="A151" s="1209" t="s">
        <v>196</v>
      </c>
      <c r="B151" s="1224"/>
      <c r="C151" s="1223"/>
      <c r="D151" s="1223"/>
      <c r="E151" s="1223"/>
      <c r="F151" s="1220">
        <v>63251</v>
      </c>
    </row>
    <row r="152" spans="1:6" ht="12.75" hidden="1" customHeight="1">
      <c r="A152" s="1225" t="s">
        <v>197</v>
      </c>
      <c r="B152" s="1224"/>
      <c r="C152" s="1223"/>
      <c r="D152" s="1223"/>
      <c r="E152" s="1223"/>
      <c r="F152" s="1220">
        <v>62859</v>
      </c>
    </row>
    <row r="153" spans="1:6" ht="12.75" hidden="1" customHeight="1">
      <c r="A153" s="1215" t="s">
        <v>198</v>
      </c>
      <c r="B153" s="1224">
        <v>11947</v>
      </c>
      <c r="C153" s="1218">
        <v>35679</v>
      </c>
      <c r="D153" s="1218">
        <v>2851</v>
      </c>
      <c r="E153" s="1223">
        <v>6253</v>
      </c>
      <c r="F153" s="1220">
        <v>56730</v>
      </c>
    </row>
    <row r="154" spans="1:6" ht="12.75" hidden="1" customHeight="1">
      <c r="A154" s="1215" t="s">
        <v>199</v>
      </c>
      <c r="B154" s="1224">
        <v>18202</v>
      </c>
      <c r="C154" s="1218">
        <v>29416</v>
      </c>
      <c r="D154" s="1218">
        <v>4728</v>
      </c>
      <c r="E154" s="1223">
        <v>7159</v>
      </c>
      <c r="F154" s="1220">
        <v>59505</v>
      </c>
    </row>
    <row r="155" spans="1:6" ht="12.75" customHeight="1">
      <c r="A155" s="1215" t="s">
        <v>200</v>
      </c>
      <c r="B155" s="1224">
        <v>27382</v>
      </c>
      <c r="C155" s="1218">
        <v>33055</v>
      </c>
      <c r="D155" s="1218">
        <v>6349</v>
      </c>
      <c r="E155" s="1223">
        <v>7945</v>
      </c>
      <c r="F155" s="1220">
        <v>74731</v>
      </c>
    </row>
    <row r="156" spans="1:6" ht="12.75" hidden="1" customHeight="1">
      <c r="A156" s="1215" t="s">
        <v>201</v>
      </c>
      <c r="B156" s="1224">
        <v>26830</v>
      </c>
      <c r="C156" s="1218">
        <v>29414</v>
      </c>
      <c r="D156" s="1218">
        <v>6461</v>
      </c>
      <c r="E156" s="1223">
        <v>8610</v>
      </c>
      <c r="F156" s="1220">
        <v>71315</v>
      </c>
    </row>
    <row r="157" spans="1:6" ht="12.75" hidden="1" customHeight="1">
      <c r="A157" s="1215" t="s">
        <v>202</v>
      </c>
      <c r="B157" s="1224">
        <v>25642</v>
      </c>
      <c r="C157" s="1218">
        <v>29989</v>
      </c>
      <c r="D157" s="1218">
        <v>6991</v>
      </c>
      <c r="E157" s="1223">
        <v>4314</v>
      </c>
      <c r="F157" s="1220">
        <v>66936</v>
      </c>
    </row>
    <row r="158" spans="1:6" ht="12.75" hidden="1" customHeight="1">
      <c r="A158" s="1215" t="s">
        <v>203</v>
      </c>
      <c r="B158" s="1224">
        <v>21818</v>
      </c>
      <c r="C158" s="1218">
        <v>36332</v>
      </c>
      <c r="D158" s="1218">
        <v>7027</v>
      </c>
      <c r="E158" s="1223">
        <v>9459</v>
      </c>
      <c r="F158" s="1220">
        <v>74636</v>
      </c>
    </row>
    <row r="159" spans="1:6" ht="12.75" hidden="1" customHeight="1">
      <c r="A159" s="1215" t="s">
        <v>204</v>
      </c>
      <c r="B159" s="1224">
        <v>23163</v>
      </c>
      <c r="C159" s="1218">
        <v>34052</v>
      </c>
      <c r="D159" s="1218">
        <v>7252</v>
      </c>
      <c r="E159" s="1223">
        <v>11718</v>
      </c>
      <c r="F159" s="1220">
        <v>76185</v>
      </c>
    </row>
    <row r="160" spans="1:6" ht="12.75" hidden="1" customHeight="1">
      <c r="A160" s="1215" t="s">
        <v>205</v>
      </c>
      <c r="B160" s="1224">
        <v>27531</v>
      </c>
      <c r="C160" s="1218">
        <v>32505</v>
      </c>
      <c r="D160" s="1218">
        <v>6393</v>
      </c>
      <c r="E160" s="1223">
        <v>8915</v>
      </c>
      <c r="F160" s="1220">
        <v>75344</v>
      </c>
    </row>
    <row r="161" spans="1:6" ht="12.75" hidden="1" customHeight="1">
      <c r="A161" s="1215" t="s">
        <v>206</v>
      </c>
      <c r="B161" s="1224">
        <v>24260</v>
      </c>
      <c r="C161" s="1218">
        <v>35751</v>
      </c>
      <c r="D161" s="1218">
        <v>9325</v>
      </c>
      <c r="E161" s="1223">
        <v>8207</v>
      </c>
      <c r="F161" s="1220">
        <v>77543</v>
      </c>
    </row>
    <row r="162" spans="1:6" ht="12.75" hidden="1" customHeight="1">
      <c r="A162" s="1215" t="s">
        <v>475</v>
      </c>
      <c r="B162" s="1224">
        <v>23187</v>
      </c>
      <c r="C162" s="1218">
        <v>29268</v>
      </c>
      <c r="D162" s="1218">
        <v>12570</v>
      </c>
      <c r="E162" s="1223">
        <v>9643</v>
      </c>
      <c r="F162" s="1220">
        <v>74668</v>
      </c>
    </row>
    <row r="163" spans="1:6" ht="12.75" hidden="1" customHeight="1">
      <c r="A163" s="1215" t="s">
        <v>207</v>
      </c>
      <c r="B163" s="1224">
        <v>26014</v>
      </c>
      <c r="C163" s="1218">
        <v>26012</v>
      </c>
      <c r="D163" s="1218">
        <v>12089</v>
      </c>
      <c r="E163" s="1223">
        <v>9999</v>
      </c>
      <c r="F163" s="1220">
        <v>74114</v>
      </c>
    </row>
    <row r="164" spans="1:6" ht="12.75" customHeight="1">
      <c r="A164" s="1215" t="s">
        <v>208</v>
      </c>
      <c r="B164" s="1222">
        <v>27130</v>
      </c>
      <c r="C164" s="1221">
        <v>27137</v>
      </c>
      <c r="D164" s="1222">
        <v>11066</v>
      </c>
      <c r="E164" s="1223">
        <v>9895</v>
      </c>
      <c r="F164" s="1220">
        <v>75228</v>
      </c>
    </row>
    <row r="165" spans="1:6" ht="12.75" customHeight="1">
      <c r="A165" s="1215" t="s">
        <v>2</v>
      </c>
      <c r="B165" s="1222">
        <v>21862</v>
      </c>
      <c r="C165" s="1221">
        <v>27088</v>
      </c>
      <c r="D165" s="1222">
        <v>7346</v>
      </c>
      <c r="E165" s="1223">
        <v>9046</v>
      </c>
      <c r="F165" s="1220">
        <v>65342</v>
      </c>
    </row>
    <row r="166" spans="1:6" ht="12.75" customHeight="1">
      <c r="A166" s="1215" t="s">
        <v>1</v>
      </c>
      <c r="B166" s="1218">
        <v>20404</v>
      </c>
      <c r="C166" s="1221">
        <v>21049</v>
      </c>
      <c r="D166" s="1222">
        <v>6933</v>
      </c>
      <c r="E166" s="1223">
        <v>6967</v>
      </c>
      <c r="F166" s="1220">
        <v>55353</v>
      </c>
    </row>
    <row r="167" spans="1:6" ht="12.75" customHeight="1">
      <c r="A167" s="1229" t="s">
        <v>497</v>
      </c>
      <c r="B167" s="1230"/>
      <c r="C167" s="1230"/>
      <c r="D167" s="1230"/>
      <c r="E167" s="1230"/>
      <c r="F167" s="1231"/>
    </row>
    <row r="168" spans="1:6" ht="12.75" hidden="1" customHeight="1">
      <c r="A168" s="1166" t="s">
        <v>198</v>
      </c>
      <c r="B168" s="1222">
        <v>198193</v>
      </c>
      <c r="C168" s="1218">
        <v>279972</v>
      </c>
      <c r="D168" s="1222">
        <v>187364</v>
      </c>
      <c r="E168" s="1219">
        <v>178741</v>
      </c>
      <c r="F168" s="1220">
        <v>844270</v>
      </c>
    </row>
    <row r="169" spans="1:6" ht="12.75" hidden="1" customHeight="1">
      <c r="A169" s="1166" t="s">
        <v>199</v>
      </c>
      <c r="B169" s="1222">
        <v>196794</v>
      </c>
      <c r="C169" s="1218">
        <v>258630</v>
      </c>
      <c r="D169" s="1222">
        <v>188923</v>
      </c>
      <c r="E169" s="1219">
        <v>179925</v>
      </c>
      <c r="F169" s="1220">
        <v>824272</v>
      </c>
    </row>
    <row r="170" spans="1:6" ht="12.75" customHeight="1">
      <c r="A170" s="1166" t="s">
        <v>200</v>
      </c>
      <c r="B170" s="1218">
        <v>191977</v>
      </c>
      <c r="C170" s="1218">
        <v>263050</v>
      </c>
      <c r="D170" s="1222">
        <v>189776</v>
      </c>
      <c r="E170" s="1219">
        <v>183693</v>
      </c>
      <c r="F170" s="1220">
        <v>828496</v>
      </c>
    </row>
    <row r="171" spans="1:6" ht="12.75" hidden="1" customHeight="1">
      <c r="A171" s="1166" t="s">
        <v>201</v>
      </c>
      <c r="B171" s="1222">
        <v>189942</v>
      </c>
      <c r="C171" s="1218">
        <v>265731</v>
      </c>
      <c r="D171" s="1222">
        <v>191191</v>
      </c>
      <c r="E171" s="1219">
        <v>179420</v>
      </c>
      <c r="F171" s="1220">
        <v>826284</v>
      </c>
    </row>
    <row r="172" spans="1:6" ht="12.75" hidden="1" customHeight="1">
      <c r="A172" s="1166" t="s">
        <v>202</v>
      </c>
      <c r="B172" s="1222">
        <v>191712</v>
      </c>
      <c r="C172" s="1218">
        <v>262200</v>
      </c>
      <c r="D172" s="1222">
        <v>181052</v>
      </c>
      <c r="E172" s="1219">
        <v>169802</v>
      </c>
      <c r="F172" s="1220">
        <v>804766</v>
      </c>
    </row>
    <row r="173" spans="1:6" ht="12.75" hidden="1" customHeight="1">
      <c r="A173" s="1166" t="s">
        <v>203</v>
      </c>
      <c r="B173" s="1222">
        <v>181673</v>
      </c>
      <c r="C173" s="1218">
        <v>264797</v>
      </c>
      <c r="D173" s="1222">
        <v>178894</v>
      </c>
      <c r="E173" s="1219">
        <v>173601</v>
      </c>
      <c r="F173" s="1220">
        <v>798965</v>
      </c>
    </row>
    <row r="174" spans="1:6" ht="12.75" hidden="1" customHeight="1">
      <c r="A174" s="1166" t="s">
        <v>204</v>
      </c>
      <c r="B174" s="1222">
        <v>166572</v>
      </c>
      <c r="C174" s="1218">
        <v>262831</v>
      </c>
      <c r="D174" s="1222">
        <v>187491</v>
      </c>
      <c r="E174" s="1219">
        <v>170152</v>
      </c>
      <c r="F174" s="1220">
        <v>787046</v>
      </c>
    </row>
    <row r="175" spans="1:6" ht="12.75" hidden="1" customHeight="1">
      <c r="A175" s="1166" t="s">
        <v>205</v>
      </c>
      <c r="B175" s="1222">
        <v>183295</v>
      </c>
      <c r="C175" s="1218">
        <v>252336</v>
      </c>
      <c r="D175" s="1222">
        <v>182583</v>
      </c>
      <c r="E175" s="1219">
        <v>169173</v>
      </c>
      <c r="F175" s="1220">
        <v>787387</v>
      </c>
    </row>
    <row r="176" spans="1:6" ht="12.75" hidden="1" customHeight="1">
      <c r="A176" s="1166" t="s">
        <v>206</v>
      </c>
      <c r="B176" s="1222">
        <v>193465</v>
      </c>
      <c r="C176" s="1218">
        <v>256930</v>
      </c>
      <c r="D176" s="1218">
        <v>191663</v>
      </c>
      <c r="E176" s="1219">
        <v>165270</v>
      </c>
      <c r="F176" s="1220">
        <v>807328</v>
      </c>
    </row>
    <row r="177" spans="1:6" ht="12.75" hidden="1" customHeight="1">
      <c r="A177" s="1166" t="s">
        <v>475</v>
      </c>
      <c r="B177" s="1222">
        <v>196975</v>
      </c>
      <c r="C177" s="1218">
        <v>240594</v>
      </c>
      <c r="D177" s="1218">
        <v>196243</v>
      </c>
      <c r="E177" s="1219">
        <v>163107</v>
      </c>
      <c r="F177" s="1220">
        <v>796919</v>
      </c>
    </row>
    <row r="178" spans="1:6" ht="12.75" hidden="1" customHeight="1">
      <c r="A178" s="1166" t="s">
        <v>207</v>
      </c>
      <c r="B178" s="1222">
        <v>171777</v>
      </c>
      <c r="C178" s="1222">
        <v>240626</v>
      </c>
      <c r="D178" s="1222">
        <v>184011</v>
      </c>
      <c r="E178" s="1232">
        <v>159529</v>
      </c>
      <c r="F178" s="1233">
        <v>755943</v>
      </c>
    </row>
    <row r="179" spans="1:6" ht="12.75" customHeight="1">
      <c r="A179" s="1215" t="s">
        <v>208</v>
      </c>
      <c r="B179" s="1222">
        <v>171150</v>
      </c>
      <c r="C179" s="1222">
        <v>252840</v>
      </c>
      <c r="D179" s="1222">
        <v>181853</v>
      </c>
      <c r="E179" s="1232">
        <v>158820</v>
      </c>
      <c r="F179" s="1233">
        <v>764663</v>
      </c>
    </row>
    <row r="180" spans="1:6" ht="12.75" customHeight="1">
      <c r="A180" s="1215" t="s">
        <v>2</v>
      </c>
      <c r="B180" s="1222">
        <v>176121</v>
      </c>
      <c r="C180" s="1221">
        <v>253351</v>
      </c>
      <c r="D180" s="1222">
        <v>180627</v>
      </c>
      <c r="E180" s="1224">
        <v>141242</v>
      </c>
      <c r="F180" s="1233">
        <v>751341</v>
      </c>
    </row>
    <row r="181" spans="1:6" ht="12.75" customHeight="1">
      <c r="A181" s="1234" t="s">
        <v>1</v>
      </c>
      <c r="B181" s="1235">
        <v>170513</v>
      </c>
      <c r="C181" s="1236">
        <v>221351</v>
      </c>
      <c r="D181" s="1237">
        <v>189241</v>
      </c>
      <c r="E181" s="1238">
        <v>128999</v>
      </c>
      <c r="F181" s="1239">
        <v>710104</v>
      </c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&amp;LBundesanstalt für Landwirtschaft
und Ernährung Ref. 423&amp;CStruktur der Mühlenwirtschaft
WJ 2012/13</oddHeader>
    <oddFooter>&amp;L&amp;A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Normal="100" workbookViewId="0">
      <selection sqref="A1:G17"/>
    </sheetView>
  </sheetViews>
  <sheetFormatPr baseColWidth="10" defaultRowHeight="15"/>
  <cols>
    <col min="1" max="1" width="23.140625" style="1035" customWidth="1"/>
    <col min="2" max="2" width="9.85546875" style="1035" customWidth="1"/>
    <col min="3" max="4" width="9.85546875" style="1035" hidden="1" customWidth="1"/>
    <col min="5" max="12" width="9.85546875" style="1035" customWidth="1"/>
    <col min="13" max="256" width="11.42578125" style="1035"/>
    <col min="257" max="257" width="23.140625" style="1035" customWidth="1"/>
    <col min="258" max="258" width="9.85546875" style="1035" customWidth="1"/>
    <col min="259" max="260" width="0" style="1035" hidden="1" customWidth="1"/>
    <col min="261" max="268" width="9.85546875" style="1035" customWidth="1"/>
    <col min="269" max="512" width="11.42578125" style="1035"/>
    <col min="513" max="513" width="23.140625" style="1035" customWidth="1"/>
    <col min="514" max="514" width="9.85546875" style="1035" customWidth="1"/>
    <col min="515" max="516" width="0" style="1035" hidden="1" customWidth="1"/>
    <col min="517" max="524" width="9.85546875" style="1035" customWidth="1"/>
    <col min="525" max="768" width="11.42578125" style="1035"/>
    <col min="769" max="769" width="23.140625" style="1035" customWidth="1"/>
    <col min="770" max="770" width="9.85546875" style="1035" customWidth="1"/>
    <col min="771" max="772" width="0" style="1035" hidden="1" customWidth="1"/>
    <col min="773" max="780" width="9.85546875" style="1035" customWidth="1"/>
    <col min="781" max="1024" width="11.42578125" style="1035"/>
    <col min="1025" max="1025" width="23.140625" style="1035" customWidth="1"/>
    <col min="1026" max="1026" width="9.85546875" style="1035" customWidth="1"/>
    <col min="1027" max="1028" width="0" style="1035" hidden="1" customWidth="1"/>
    <col min="1029" max="1036" width="9.85546875" style="1035" customWidth="1"/>
    <col min="1037" max="1280" width="11.42578125" style="1035"/>
    <col min="1281" max="1281" width="23.140625" style="1035" customWidth="1"/>
    <col min="1282" max="1282" width="9.85546875" style="1035" customWidth="1"/>
    <col min="1283" max="1284" width="0" style="1035" hidden="1" customWidth="1"/>
    <col min="1285" max="1292" width="9.85546875" style="1035" customWidth="1"/>
    <col min="1293" max="1536" width="11.42578125" style="1035"/>
    <col min="1537" max="1537" width="23.140625" style="1035" customWidth="1"/>
    <col min="1538" max="1538" width="9.85546875" style="1035" customWidth="1"/>
    <col min="1539" max="1540" width="0" style="1035" hidden="1" customWidth="1"/>
    <col min="1541" max="1548" width="9.85546875" style="1035" customWidth="1"/>
    <col min="1549" max="1792" width="11.42578125" style="1035"/>
    <col min="1793" max="1793" width="23.140625" style="1035" customWidth="1"/>
    <col min="1794" max="1794" width="9.85546875" style="1035" customWidth="1"/>
    <col min="1795" max="1796" width="0" style="1035" hidden="1" customWidth="1"/>
    <col min="1797" max="1804" width="9.85546875" style="1035" customWidth="1"/>
    <col min="1805" max="2048" width="11.42578125" style="1035"/>
    <col min="2049" max="2049" width="23.140625" style="1035" customWidth="1"/>
    <col min="2050" max="2050" width="9.85546875" style="1035" customWidth="1"/>
    <col min="2051" max="2052" width="0" style="1035" hidden="1" customWidth="1"/>
    <col min="2053" max="2060" width="9.85546875" style="1035" customWidth="1"/>
    <col min="2061" max="2304" width="11.42578125" style="1035"/>
    <col min="2305" max="2305" width="23.140625" style="1035" customWidth="1"/>
    <col min="2306" max="2306" width="9.85546875" style="1035" customWidth="1"/>
    <col min="2307" max="2308" width="0" style="1035" hidden="1" customWidth="1"/>
    <col min="2309" max="2316" width="9.85546875" style="1035" customWidth="1"/>
    <col min="2317" max="2560" width="11.42578125" style="1035"/>
    <col min="2561" max="2561" width="23.140625" style="1035" customWidth="1"/>
    <col min="2562" max="2562" width="9.85546875" style="1035" customWidth="1"/>
    <col min="2563" max="2564" width="0" style="1035" hidden="1" customWidth="1"/>
    <col min="2565" max="2572" width="9.85546875" style="1035" customWidth="1"/>
    <col min="2573" max="2816" width="11.42578125" style="1035"/>
    <col min="2817" max="2817" width="23.140625" style="1035" customWidth="1"/>
    <col min="2818" max="2818" width="9.85546875" style="1035" customWidth="1"/>
    <col min="2819" max="2820" width="0" style="1035" hidden="1" customWidth="1"/>
    <col min="2821" max="2828" width="9.85546875" style="1035" customWidth="1"/>
    <col min="2829" max="3072" width="11.42578125" style="1035"/>
    <col min="3073" max="3073" width="23.140625" style="1035" customWidth="1"/>
    <col min="3074" max="3074" width="9.85546875" style="1035" customWidth="1"/>
    <col min="3075" max="3076" width="0" style="1035" hidden="1" customWidth="1"/>
    <col min="3077" max="3084" width="9.85546875" style="1035" customWidth="1"/>
    <col min="3085" max="3328" width="11.42578125" style="1035"/>
    <col min="3329" max="3329" width="23.140625" style="1035" customWidth="1"/>
    <col min="3330" max="3330" width="9.85546875" style="1035" customWidth="1"/>
    <col min="3331" max="3332" width="0" style="1035" hidden="1" customWidth="1"/>
    <col min="3333" max="3340" width="9.85546875" style="1035" customWidth="1"/>
    <col min="3341" max="3584" width="11.42578125" style="1035"/>
    <col min="3585" max="3585" width="23.140625" style="1035" customWidth="1"/>
    <col min="3586" max="3586" width="9.85546875" style="1035" customWidth="1"/>
    <col min="3587" max="3588" width="0" style="1035" hidden="1" customWidth="1"/>
    <col min="3589" max="3596" width="9.85546875" style="1035" customWidth="1"/>
    <col min="3597" max="3840" width="11.42578125" style="1035"/>
    <col min="3841" max="3841" width="23.140625" style="1035" customWidth="1"/>
    <col min="3842" max="3842" width="9.85546875" style="1035" customWidth="1"/>
    <col min="3843" max="3844" width="0" style="1035" hidden="1" customWidth="1"/>
    <col min="3845" max="3852" width="9.85546875" style="1035" customWidth="1"/>
    <col min="3853" max="4096" width="11.42578125" style="1035"/>
    <col min="4097" max="4097" width="23.140625" style="1035" customWidth="1"/>
    <col min="4098" max="4098" width="9.85546875" style="1035" customWidth="1"/>
    <col min="4099" max="4100" width="0" style="1035" hidden="1" customWidth="1"/>
    <col min="4101" max="4108" width="9.85546875" style="1035" customWidth="1"/>
    <col min="4109" max="4352" width="11.42578125" style="1035"/>
    <col min="4353" max="4353" width="23.140625" style="1035" customWidth="1"/>
    <col min="4354" max="4354" width="9.85546875" style="1035" customWidth="1"/>
    <col min="4355" max="4356" width="0" style="1035" hidden="1" customWidth="1"/>
    <col min="4357" max="4364" width="9.85546875" style="1035" customWidth="1"/>
    <col min="4365" max="4608" width="11.42578125" style="1035"/>
    <col min="4609" max="4609" width="23.140625" style="1035" customWidth="1"/>
    <col min="4610" max="4610" width="9.85546875" style="1035" customWidth="1"/>
    <col min="4611" max="4612" width="0" style="1035" hidden="1" customWidth="1"/>
    <col min="4613" max="4620" width="9.85546875" style="1035" customWidth="1"/>
    <col min="4621" max="4864" width="11.42578125" style="1035"/>
    <col min="4865" max="4865" width="23.140625" style="1035" customWidth="1"/>
    <col min="4866" max="4866" width="9.85546875" style="1035" customWidth="1"/>
    <col min="4867" max="4868" width="0" style="1035" hidden="1" customWidth="1"/>
    <col min="4869" max="4876" width="9.85546875" style="1035" customWidth="1"/>
    <col min="4877" max="5120" width="11.42578125" style="1035"/>
    <col min="5121" max="5121" width="23.140625" style="1035" customWidth="1"/>
    <col min="5122" max="5122" width="9.85546875" style="1035" customWidth="1"/>
    <col min="5123" max="5124" width="0" style="1035" hidden="1" customWidth="1"/>
    <col min="5125" max="5132" width="9.85546875" style="1035" customWidth="1"/>
    <col min="5133" max="5376" width="11.42578125" style="1035"/>
    <col min="5377" max="5377" width="23.140625" style="1035" customWidth="1"/>
    <col min="5378" max="5378" width="9.85546875" style="1035" customWidth="1"/>
    <col min="5379" max="5380" width="0" style="1035" hidden="1" customWidth="1"/>
    <col min="5381" max="5388" width="9.85546875" style="1035" customWidth="1"/>
    <col min="5389" max="5632" width="11.42578125" style="1035"/>
    <col min="5633" max="5633" width="23.140625" style="1035" customWidth="1"/>
    <col min="5634" max="5634" width="9.85546875" style="1035" customWidth="1"/>
    <col min="5635" max="5636" width="0" style="1035" hidden="1" customWidth="1"/>
    <col min="5637" max="5644" width="9.85546875" style="1035" customWidth="1"/>
    <col min="5645" max="5888" width="11.42578125" style="1035"/>
    <col min="5889" max="5889" width="23.140625" style="1035" customWidth="1"/>
    <col min="5890" max="5890" width="9.85546875" style="1035" customWidth="1"/>
    <col min="5891" max="5892" width="0" style="1035" hidden="1" customWidth="1"/>
    <col min="5893" max="5900" width="9.85546875" style="1035" customWidth="1"/>
    <col min="5901" max="6144" width="11.42578125" style="1035"/>
    <col min="6145" max="6145" width="23.140625" style="1035" customWidth="1"/>
    <col min="6146" max="6146" width="9.85546875" style="1035" customWidth="1"/>
    <col min="6147" max="6148" width="0" style="1035" hidden="1" customWidth="1"/>
    <col min="6149" max="6156" width="9.85546875" style="1035" customWidth="1"/>
    <col min="6157" max="6400" width="11.42578125" style="1035"/>
    <col min="6401" max="6401" width="23.140625" style="1035" customWidth="1"/>
    <col min="6402" max="6402" width="9.85546875" style="1035" customWidth="1"/>
    <col min="6403" max="6404" width="0" style="1035" hidden="1" customWidth="1"/>
    <col min="6405" max="6412" width="9.85546875" style="1035" customWidth="1"/>
    <col min="6413" max="6656" width="11.42578125" style="1035"/>
    <col min="6657" max="6657" width="23.140625" style="1035" customWidth="1"/>
    <col min="6658" max="6658" width="9.85546875" style="1035" customWidth="1"/>
    <col min="6659" max="6660" width="0" style="1035" hidden="1" customWidth="1"/>
    <col min="6661" max="6668" width="9.85546875" style="1035" customWidth="1"/>
    <col min="6669" max="6912" width="11.42578125" style="1035"/>
    <col min="6913" max="6913" width="23.140625" style="1035" customWidth="1"/>
    <col min="6914" max="6914" width="9.85546875" style="1035" customWidth="1"/>
    <col min="6915" max="6916" width="0" style="1035" hidden="1" customWidth="1"/>
    <col min="6917" max="6924" width="9.85546875" style="1035" customWidth="1"/>
    <col min="6925" max="7168" width="11.42578125" style="1035"/>
    <col min="7169" max="7169" width="23.140625" style="1035" customWidth="1"/>
    <col min="7170" max="7170" width="9.85546875" style="1035" customWidth="1"/>
    <col min="7171" max="7172" width="0" style="1035" hidden="1" customWidth="1"/>
    <col min="7173" max="7180" width="9.85546875" style="1035" customWidth="1"/>
    <col min="7181" max="7424" width="11.42578125" style="1035"/>
    <col min="7425" max="7425" width="23.140625" style="1035" customWidth="1"/>
    <col min="7426" max="7426" width="9.85546875" style="1035" customWidth="1"/>
    <col min="7427" max="7428" width="0" style="1035" hidden="1" customWidth="1"/>
    <col min="7429" max="7436" width="9.85546875" style="1035" customWidth="1"/>
    <col min="7437" max="7680" width="11.42578125" style="1035"/>
    <col min="7681" max="7681" width="23.140625" style="1035" customWidth="1"/>
    <col min="7682" max="7682" width="9.85546875" style="1035" customWidth="1"/>
    <col min="7683" max="7684" width="0" style="1035" hidden="1" customWidth="1"/>
    <col min="7685" max="7692" width="9.85546875" style="1035" customWidth="1"/>
    <col min="7693" max="7936" width="11.42578125" style="1035"/>
    <col min="7937" max="7937" width="23.140625" style="1035" customWidth="1"/>
    <col min="7938" max="7938" width="9.85546875" style="1035" customWidth="1"/>
    <col min="7939" max="7940" width="0" style="1035" hidden="1" customWidth="1"/>
    <col min="7941" max="7948" width="9.85546875" style="1035" customWidth="1"/>
    <col min="7949" max="8192" width="11.42578125" style="1035"/>
    <col min="8193" max="8193" width="23.140625" style="1035" customWidth="1"/>
    <col min="8194" max="8194" width="9.85546875" style="1035" customWidth="1"/>
    <col min="8195" max="8196" width="0" style="1035" hidden="1" customWidth="1"/>
    <col min="8197" max="8204" width="9.85546875" style="1035" customWidth="1"/>
    <col min="8205" max="8448" width="11.42578125" style="1035"/>
    <col min="8449" max="8449" width="23.140625" style="1035" customWidth="1"/>
    <col min="8450" max="8450" width="9.85546875" style="1035" customWidth="1"/>
    <col min="8451" max="8452" width="0" style="1035" hidden="1" customWidth="1"/>
    <col min="8453" max="8460" width="9.85546875" style="1035" customWidth="1"/>
    <col min="8461" max="8704" width="11.42578125" style="1035"/>
    <col min="8705" max="8705" width="23.140625" style="1035" customWidth="1"/>
    <col min="8706" max="8706" width="9.85546875" style="1035" customWidth="1"/>
    <col min="8707" max="8708" width="0" style="1035" hidden="1" customWidth="1"/>
    <col min="8709" max="8716" width="9.85546875" style="1035" customWidth="1"/>
    <col min="8717" max="8960" width="11.42578125" style="1035"/>
    <col min="8961" max="8961" width="23.140625" style="1035" customWidth="1"/>
    <col min="8962" max="8962" width="9.85546875" style="1035" customWidth="1"/>
    <col min="8963" max="8964" width="0" style="1035" hidden="1" customWidth="1"/>
    <col min="8965" max="8972" width="9.85546875" style="1035" customWidth="1"/>
    <col min="8973" max="9216" width="11.42578125" style="1035"/>
    <col min="9217" max="9217" width="23.140625" style="1035" customWidth="1"/>
    <col min="9218" max="9218" width="9.85546875" style="1035" customWidth="1"/>
    <col min="9219" max="9220" width="0" style="1035" hidden="1" customWidth="1"/>
    <col min="9221" max="9228" width="9.85546875" style="1035" customWidth="1"/>
    <col min="9229" max="9472" width="11.42578125" style="1035"/>
    <col min="9473" max="9473" width="23.140625" style="1035" customWidth="1"/>
    <col min="9474" max="9474" width="9.85546875" style="1035" customWidth="1"/>
    <col min="9475" max="9476" width="0" style="1035" hidden="1" customWidth="1"/>
    <col min="9477" max="9484" width="9.85546875" style="1035" customWidth="1"/>
    <col min="9485" max="9728" width="11.42578125" style="1035"/>
    <col min="9729" max="9729" width="23.140625" style="1035" customWidth="1"/>
    <col min="9730" max="9730" width="9.85546875" style="1035" customWidth="1"/>
    <col min="9731" max="9732" width="0" style="1035" hidden="1" customWidth="1"/>
    <col min="9733" max="9740" width="9.85546875" style="1035" customWidth="1"/>
    <col min="9741" max="9984" width="11.42578125" style="1035"/>
    <col min="9985" max="9985" width="23.140625" style="1035" customWidth="1"/>
    <col min="9986" max="9986" width="9.85546875" style="1035" customWidth="1"/>
    <col min="9987" max="9988" width="0" style="1035" hidden="1" customWidth="1"/>
    <col min="9989" max="9996" width="9.85546875" style="1035" customWidth="1"/>
    <col min="9997" max="10240" width="11.42578125" style="1035"/>
    <col min="10241" max="10241" width="23.140625" style="1035" customWidth="1"/>
    <col min="10242" max="10242" width="9.85546875" style="1035" customWidth="1"/>
    <col min="10243" max="10244" width="0" style="1035" hidden="1" customWidth="1"/>
    <col min="10245" max="10252" width="9.85546875" style="1035" customWidth="1"/>
    <col min="10253" max="10496" width="11.42578125" style="1035"/>
    <col min="10497" max="10497" width="23.140625" style="1035" customWidth="1"/>
    <col min="10498" max="10498" width="9.85546875" style="1035" customWidth="1"/>
    <col min="10499" max="10500" width="0" style="1035" hidden="1" customWidth="1"/>
    <col min="10501" max="10508" width="9.85546875" style="1035" customWidth="1"/>
    <col min="10509" max="10752" width="11.42578125" style="1035"/>
    <col min="10753" max="10753" width="23.140625" style="1035" customWidth="1"/>
    <col min="10754" max="10754" width="9.85546875" style="1035" customWidth="1"/>
    <col min="10755" max="10756" width="0" style="1035" hidden="1" customWidth="1"/>
    <col min="10757" max="10764" width="9.85546875" style="1035" customWidth="1"/>
    <col min="10765" max="11008" width="11.42578125" style="1035"/>
    <col min="11009" max="11009" width="23.140625" style="1035" customWidth="1"/>
    <col min="11010" max="11010" width="9.85546875" style="1035" customWidth="1"/>
    <col min="11011" max="11012" width="0" style="1035" hidden="1" customWidth="1"/>
    <col min="11013" max="11020" width="9.85546875" style="1035" customWidth="1"/>
    <col min="11021" max="11264" width="11.42578125" style="1035"/>
    <col min="11265" max="11265" width="23.140625" style="1035" customWidth="1"/>
    <col min="11266" max="11266" width="9.85546875" style="1035" customWidth="1"/>
    <col min="11267" max="11268" width="0" style="1035" hidden="1" customWidth="1"/>
    <col min="11269" max="11276" width="9.85546875" style="1035" customWidth="1"/>
    <col min="11277" max="11520" width="11.42578125" style="1035"/>
    <col min="11521" max="11521" width="23.140625" style="1035" customWidth="1"/>
    <col min="11522" max="11522" width="9.85546875" style="1035" customWidth="1"/>
    <col min="11523" max="11524" width="0" style="1035" hidden="1" customWidth="1"/>
    <col min="11525" max="11532" width="9.85546875" style="1035" customWidth="1"/>
    <col min="11533" max="11776" width="11.42578125" style="1035"/>
    <col min="11777" max="11777" width="23.140625" style="1035" customWidth="1"/>
    <col min="11778" max="11778" width="9.85546875" style="1035" customWidth="1"/>
    <col min="11779" max="11780" width="0" style="1035" hidden="1" customWidth="1"/>
    <col min="11781" max="11788" width="9.85546875" style="1035" customWidth="1"/>
    <col min="11789" max="12032" width="11.42578125" style="1035"/>
    <col min="12033" max="12033" width="23.140625" style="1035" customWidth="1"/>
    <col min="12034" max="12034" width="9.85546875" style="1035" customWidth="1"/>
    <col min="12035" max="12036" width="0" style="1035" hidden="1" customWidth="1"/>
    <col min="12037" max="12044" width="9.85546875" style="1035" customWidth="1"/>
    <col min="12045" max="12288" width="11.42578125" style="1035"/>
    <col min="12289" max="12289" width="23.140625" style="1035" customWidth="1"/>
    <col min="12290" max="12290" width="9.85546875" style="1035" customWidth="1"/>
    <col min="12291" max="12292" width="0" style="1035" hidden="1" customWidth="1"/>
    <col min="12293" max="12300" width="9.85546875" style="1035" customWidth="1"/>
    <col min="12301" max="12544" width="11.42578125" style="1035"/>
    <col min="12545" max="12545" width="23.140625" style="1035" customWidth="1"/>
    <col min="12546" max="12546" width="9.85546875" style="1035" customWidth="1"/>
    <col min="12547" max="12548" width="0" style="1035" hidden="1" customWidth="1"/>
    <col min="12549" max="12556" width="9.85546875" style="1035" customWidth="1"/>
    <col min="12557" max="12800" width="11.42578125" style="1035"/>
    <col min="12801" max="12801" width="23.140625" style="1035" customWidth="1"/>
    <col min="12802" max="12802" width="9.85546875" style="1035" customWidth="1"/>
    <col min="12803" max="12804" width="0" style="1035" hidden="1" customWidth="1"/>
    <col min="12805" max="12812" width="9.85546875" style="1035" customWidth="1"/>
    <col min="12813" max="13056" width="11.42578125" style="1035"/>
    <col min="13057" max="13057" width="23.140625" style="1035" customWidth="1"/>
    <col min="13058" max="13058" width="9.85546875" style="1035" customWidth="1"/>
    <col min="13059" max="13060" width="0" style="1035" hidden="1" customWidth="1"/>
    <col min="13061" max="13068" width="9.85546875" style="1035" customWidth="1"/>
    <col min="13069" max="13312" width="11.42578125" style="1035"/>
    <col min="13313" max="13313" width="23.140625" style="1035" customWidth="1"/>
    <col min="13314" max="13314" width="9.85546875" style="1035" customWidth="1"/>
    <col min="13315" max="13316" width="0" style="1035" hidden="1" customWidth="1"/>
    <col min="13317" max="13324" width="9.85546875" style="1035" customWidth="1"/>
    <col min="13325" max="13568" width="11.42578125" style="1035"/>
    <col min="13569" max="13569" width="23.140625" style="1035" customWidth="1"/>
    <col min="13570" max="13570" width="9.85546875" style="1035" customWidth="1"/>
    <col min="13571" max="13572" width="0" style="1035" hidden="1" customWidth="1"/>
    <col min="13573" max="13580" width="9.85546875" style="1035" customWidth="1"/>
    <col min="13581" max="13824" width="11.42578125" style="1035"/>
    <col min="13825" max="13825" width="23.140625" style="1035" customWidth="1"/>
    <col min="13826" max="13826" width="9.85546875" style="1035" customWidth="1"/>
    <col min="13827" max="13828" width="0" style="1035" hidden="1" customWidth="1"/>
    <col min="13829" max="13836" width="9.85546875" style="1035" customWidth="1"/>
    <col min="13837" max="14080" width="11.42578125" style="1035"/>
    <col min="14081" max="14081" width="23.140625" style="1035" customWidth="1"/>
    <col min="14082" max="14082" width="9.85546875" style="1035" customWidth="1"/>
    <col min="14083" max="14084" width="0" style="1035" hidden="1" customWidth="1"/>
    <col min="14085" max="14092" width="9.85546875" style="1035" customWidth="1"/>
    <col min="14093" max="14336" width="11.42578125" style="1035"/>
    <col min="14337" max="14337" width="23.140625" style="1035" customWidth="1"/>
    <col min="14338" max="14338" width="9.85546875" style="1035" customWidth="1"/>
    <col min="14339" max="14340" width="0" style="1035" hidden="1" customWidth="1"/>
    <col min="14341" max="14348" width="9.85546875" style="1035" customWidth="1"/>
    <col min="14349" max="14592" width="11.42578125" style="1035"/>
    <col min="14593" max="14593" width="23.140625" style="1035" customWidth="1"/>
    <col min="14594" max="14594" width="9.85546875" style="1035" customWidth="1"/>
    <col min="14595" max="14596" width="0" style="1035" hidden="1" customWidth="1"/>
    <col min="14597" max="14604" width="9.85546875" style="1035" customWidth="1"/>
    <col min="14605" max="14848" width="11.42578125" style="1035"/>
    <col min="14849" max="14849" width="23.140625" style="1035" customWidth="1"/>
    <col min="14850" max="14850" width="9.85546875" style="1035" customWidth="1"/>
    <col min="14851" max="14852" width="0" style="1035" hidden="1" customWidth="1"/>
    <col min="14853" max="14860" width="9.85546875" style="1035" customWidth="1"/>
    <col min="14861" max="15104" width="11.42578125" style="1035"/>
    <col min="15105" max="15105" width="23.140625" style="1035" customWidth="1"/>
    <col min="15106" max="15106" width="9.85546875" style="1035" customWidth="1"/>
    <col min="15107" max="15108" width="0" style="1035" hidden="1" customWidth="1"/>
    <col min="15109" max="15116" width="9.85546875" style="1035" customWidth="1"/>
    <col min="15117" max="15360" width="11.42578125" style="1035"/>
    <col min="15361" max="15361" width="23.140625" style="1035" customWidth="1"/>
    <col min="15362" max="15362" width="9.85546875" style="1035" customWidth="1"/>
    <col min="15363" max="15364" width="0" style="1035" hidden="1" customWidth="1"/>
    <col min="15365" max="15372" width="9.85546875" style="1035" customWidth="1"/>
    <col min="15373" max="15616" width="11.42578125" style="1035"/>
    <col min="15617" max="15617" width="23.140625" style="1035" customWidth="1"/>
    <col min="15618" max="15618" width="9.85546875" style="1035" customWidth="1"/>
    <col min="15619" max="15620" width="0" style="1035" hidden="1" customWidth="1"/>
    <col min="15621" max="15628" width="9.85546875" style="1035" customWidth="1"/>
    <col min="15629" max="15872" width="11.42578125" style="1035"/>
    <col min="15873" max="15873" width="23.140625" style="1035" customWidth="1"/>
    <col min="15874" max="15874" width="9.85546875" style="1035" customWidth="1"/>
    <col min="15875" max="15876" width="0" style="1035" hidden="1" customWidth="1"/>
    <col min="15877" max="15884" width="9.85546875" style="1035" customWidth="1"/>
    <col min="15885" max="16128" width="11.42578125" style="1035"/>
    <col min="16129" max="16129" width="23.140625" style="1035" customWidth="1"/>
    <col min="16130" max="16130" width="9.85546875" style="1035" customWidth="1"/>
    <col min="16131" max="16132" width="0" style="1035" hidden="1" customWidth="1"/>
    <col min="16133" max="16140" width="9.85546875" style="1035" customWidth="1"/>
    <col min="16141" max="16384" width="11.42578125" style="1035"/>
  </cols>
  <sheetData>
    <row r="1" spans="1:13" ht="15.75">
      <c r="A1" s="1033" t="s">
        <v>498</v>
      </c>
    </row>
    <row r="3" spans="1:13">
      <c r="A3" s="1240" t="s">
        <v>499</v>
      </c>
      <c r="B3" s="1240" t="s">
        <v>199</v>
      </c>
      <c r="C3" s="1240" t="s">
        <v>201</v>
      </c>
      <c r="D3" s="1240" t="s">
        <v>202</v>
      </c>
      <c r="E3" s="1240" t="s">
        <v>203</v>
      </c>
      <c r="F3" s="1240" t="s">
        <v>204</v>
      </c>
      <c r="G3" s="1240" t="s">
        <v>205</v>
      </c>
      <c r="H3" s="1240" t="s">
        <v>206</v>
      </c>
      <c r="I3" s="1240" t="s">
        <v>475</v>
      </c>
      <c r="J3" s="1240" t="s">
        <v>207</v>
      </c>
      <c r="K3" s="1240" t="s">
        <v>208</v>
      </c>
      <c r="L3" s="1240" t="s">
        <v>2</v>
      </c>
      <c r="M3" s="1240" t="s">
        <v>1</v>
      </c>
    </row>
    <row r="4" spans="1:13">
      <c r="A4" s="1241" t="s">
        <v>500</v>
      </c>
      <c r="B4" s="1242">
        <v>8452</v>
      </c>
      <c r="C4" s="1242">
        <v>8887</v>
      </c>
      <c r="D4" s="1242">
        <v>7830</v>
      </c>
      <c r="E4" s="1242">
        <v>10121</v>
      </c>
      <c r="F4" s="1242">
        <v>9999</v>
      </c>
      <c r="G4" s="1242">
        <v>9890</v>
      </c>
      <c r="H4" s="1242">
        <v>12757</v>
      </c>
      <c r="I4" s="1242">
        <v>12161</v>
      </c>
      <c r="J4" s="1242">
        <v>10556</v>
      </c>
      <c r="K4" s="1242">
        <v>9094</v>
      </c>
      <c r="L4" s="1242">
        <v>8475</v>
      </c>
      <c r="M4" s="1242">
        <v>7403</v>
      </c>
    </row>
    <row r="5" spans="1:13">
      <c r="A5" s="1243" t="s">
        <v>501</v>
      </c>
      <c r="B5" s="1242">
        <v>132013</v>
      </c>
      <c r="C5" s="1242">
        <v>117577</v>
      </c>
      <c r="D5" s="1242">
        <v>116627</v>
      </c>
      <c r="E5" s="1242">
        <v>124418</v>
      </c>
      <c r="F5" s="1242">
        <v>140458</v>
      </c>
      <c r="G5" s="1242">
        <v>144701</v>
      </c>
      <c r="H5" s="1242">
        <v>171412</v>
      </c>
      <c r="I5" s="1242">
        <v>131608</v>
      </c>
      <c r="J5" s="1242">
        <v>158576</v>
      </c>
      <c r="K5" s="1242">
        <v>200422</v>
      </c>
      <c r="L5" s="1242">
        <v>184810</v>
      </c>
      <c r="M5" s="1242">
        <v>160764</v>
      </c>
    </row>
    <row r="6" spans="1:13">
      <c r="A6" s="1244" t="s">
        <v>502</v>
      </c>
      <c r="B6" s="1242">
        <v>101619</v>
      </c>
      <c r="C6" s="1242">
        <v>107859</v>
      </c>
      <c r="D6" s="1242">
        <v>108380</v>
      </c>
      <c r="E6" s="1242">
        <v>111346</v>
      </c>
      <c r="F6" s="1242">
        <v>118517</v>
      </c>
      <c r="G6" s="1242">
        <v>119636</v>
      </c>
      <c r="H6" s="1242">
        <v>134910</v>
      </c>
      <c r="I6" s="1242">
        <v>135458</v>
      </c>
      <c r="J6" s="1242">
        <v>120218</v>
      </c>
      <c r="K6" s="1242">
        <v>118999</v>
      </c>
      <c r="L6" s="1242">
        <v>114713</v>
      </c>
      <c r="M6" s="1242">
        <v>128993</v>
      </c>
    </row>
    <row r="7" spans="1:13">
      <c r="A7" s="1240" t="s">
        <v>24</v>
      </c>
      <c r="B7" s="1245">
        <f>SUM(B4:B6)</f>
        <v>242084</v>
      </c>
      <c r="C7" s="1245">
        <f t="shared" ref="C7:I7" si="0">SUM(C4:C6)</f>
        <v>234323</v>
      </c>
      <c r="D7" s="1245">
        <f t="shared" si="0"/>
        <v>232837</v>
      </c>
      <c r="E7" s="1245">
        <f t="shared" si="0"/>
        <v>245885</v>
      </c>
      <c r="F7" s="1245">
        <f t="shared" si="0"/>
        <v>268974</v>
      </c>
      <c r="G7" s="1245">
        <f t="shared" si="0"/>
        <v>274227</v>
      </c>
      <c r="H7" s="1245">
        <f t="shared" si="0"/>
        <v>319079</v>
      </c>
      <c r="I7" s="1245">
        <f t="shared" si="0"/>
        <v>279227</v>
      </c>
      <c r="J7" s="1245">
        <v>289350</v>
      </c>
      <c r="K7" s="1245">
        <f>SUM(K4:K6)</f>
        <v>328515</v>
      </c>
      <c r="L7" s="1245">
        <f>SUM(L4:L6)</f>
        <v>307998</v>
      </c>
      <c r="M7" s="1245">
        <f>SUM(M4:M6)</f>
        <v>297160</v>
      </c>
    </row>
    <row r="9" spans="1:13">
      <c r="K9" s="1246"/>
      <c r="L9" s="1246"/>
    </row>
  </sheetData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zoomScaleNormal="100" workbookViewId="0">
      <selection activeCell="B1" sqref="B1"/>
    </sheetView>
  </sheetViews>
  <sheetFormatPr baseColWidth="10" defaultRowHeight="12.75"/>
  <cols>
    <col min="1" max="1" width="11.42578125" style="178"/>
    <col min="2" max="2" width="22.7109375" style="178" customWidth="1"/>
    <col min="3" max="5" width="11.5703125" style="178" bestFit="1" customWidth="1"/>
    <col min="6" max="6" width="12" style="178" customWidth="1"/>
    <col min="7" max="7" width="11.5703125" style="178" bestFit="1" customWidth="1"/>
    <col min="8" max="8" width="13.42578125" style="178" bestFit="1" customWidth="1"/>
    <col min="9" max="16384" width="11.42578125" style="178"/>
  </cols>
  <sheetData>
    <row r="1" spans="2:8" ht="15.75">
      <c r="B1" s="177" t="s">
        <v>106</v>
      </c>
      <c r="C1" s="177" t="s">
        <v>107</v>
      </c>
    </row>
    <row r="2" spans="2:8" ht="15.75">
      <c r="C2" s="177" t="s">
        <v>108</v>
      </c>
    </row>
    <row r="4" spans="2:8" ht="32.25" customHeight="1">
      <c r="B4" s="1251" t="s">
        <v>109</v>
      </c>
      <c r="C4" s="1254" t="s">
        <v>110</v>
      </c>
      <c r="D4" s="1254"/>
      <c r="E4" s="1254"/>
      <c r="F4" s="1254"/>
      <c r="G4" s="1254"/>
      <c r="H4" s="1254"/>
    </row>
    <row r="5" spans="2:8" ht="38.25">
      <c r="B5" s="1252"/>
      <c r="C5" s="179" t="s">
        <v>111</v>
      </c>
      <c r="D5" s="179" t="s">
        <v>112</v>
      </c>
      <c r="E5" s="179" t="s">
        <v>113</v>
      </c>
      <c r="F5" s="180" t="s">
        <v>114</v>
      </c>
      <c r="G5" s="181" t="s">
        <v>115</v>
      </c>
      <c r="H5" s="182" t="s">
        <v>24</v>
      </c>
    </row>
    <row r="6" spans="2:8" ht="21.75" customHeight="1">
      <c r="B6" s="1253"/>
      <c r="C6" s="1254" t="s">
        <v>116</v>
      </c>
      <c r="D6" s="1254"/>
      <c r="E6" s="1254"/>
      <c r="F6" s="1254"/>
      <c r="G6" s="1254"/>
      <c r="H6" s="1254"/>
    </row>
    <row r="7" spans="2:8" ht="15" customHeight="1">
      <c r="B7" s="183" t="s">
        <v>9</v>
      </c>
      <c r="C7" s="184">
        <v>6064644</v>
      </c>
      <c r="D7" s="184">
        <v>715212</v>
      </c>
      <c r="E7" s="184">
        <v>447136</v>
      </c>
      <c r="F7" s="185">
        <f>SUM(C7:E7)</f>
        <v>7226992</v>
      </c>
      <c r="G7" s="184">
        <v>80022</v>
      </c>
      <c r="H7" s="186">
        <f>SUM(F7:G7)</f>
        <v>7307014</v>
      </c>
    </row>
    <row r="8" spans="2:8" ht="15" customHeight="1">
      <c r="B8" s="183" t="s">
        <v>10</v>
      </c>
      <c r="C8" s="184">
        <v>788097</v>
      </c>
      <c r="D8" s="184">
        <v>17386</v>
      </c>
      <c r="E8" s="187" t="s">
        <v>117</v>
      </c>
      <c r="F8" s="185">
        <f>SUM(C8:E8)</f>
        <v>805483</v>
      </c>
      <c r="G8" s="184">
        <v>7477</v>
      </c>
      <c r="H8" s="186">
        <f t="shared" ref="H8:H10" si="0">SUM(F8:G8)</f>
        <v>812960</v>
      </c>
    </row>
    <row r="9" spans="2:8" ht="15" customHeight="1">
      <c r="B9" s="183" t="s">
        <v>25</v>
      </c>
      <c r="C9" s="184">
        <v>370345</v>
      </c>
      <c r="D9" s="184">
        <v>45124</v>
      </c>
      <c r="E9" s="187" t="s">
        <v>117</v>
      </c>
      <c r="F9" s="185">
        <f>SUM(C9:E9)</f>
        <v>415469</v>
      </c>
      <c r="G9" s="184">
        <v>5891</v>
      </c>
      <c r="H9" s="186">
        <f t="shared" si="0"/>
        <v>421360</v>
      </c>
    </row>
    <row r="10" spans="2:8" ht="15" customHeight="1">
      <c r="B10" s="183" t="s">
        <v>118</v>
      </c>
      <c r="C10" s="184">
        <v>1459</v>
      </c>
      <c r="D10" s="187" t="s">
        <v>117</v>
      </c>
      <c r="E10" s="187" t="s">
        <v>117</v>
      </c>
      <c r="F10" s="185">
        <v>1459</v>
      </c>
      <c r="G10" s="184">
        <v>10096</v>
      </c>
      <c r="H10" s="186">
        <f t="shared" si="0"/>
        <v>11555</v>
      </c>
    </row>
    <row r="11" spans="2:8" ht="15" customHeight="1">
      <c r="B11" s="183" t="s">
        <v>119</v>
      </c>
      <c r="C11" s="187" t="s">
        <v>117</v>
      </c>
      <c r="D11" s="186" t="s">
        <v>120</v>
      </c>
      <c r="E11" s="187" t="s">
        <v>117</v>
      </c>
      <c r="F11" s="186" t="s">
        <v>120</v>
      </c>
      <c r="G11" s="184">
        <v>363457</v>
      </c>
      <c r="H11" s="186" t="s">
        <v>120</v>
      </c>
    </row>
    <row r="12" spans="2:8" ht="15" customHeight="1">
      <c r="B12" s="183" t="s">
        <v>121</v>
      </c>
      <c r="C12" s="186" t="s">
        <v>120</v>
      </c>
      <c r="D12" s="186" t="s">
        <v>120</v>
      </c>
      <c r="E12" s="187" t="s">
        <v>117</v>
      </c>
      <c r="F12" s="185">
        <v>136567</v>
      </c>
      <c r="G12" s="186" t="s">
        <v>120</v>
      </c>
      <c r="H12" s="186" t="s">
        <v>120</v>
      </c>
    </row>
    <row r="13" spans="2:8" ht="38.25">
      <c r="B13" s="188" t="s">
        <v>122</v>
      </c>
      <c r="C13" s="186" t="s">
        <v>120</v>
      </c>
      <c r="D13" s="186" t="s">
        <v>120</v>
      </c>
      <c r="E13" s="187" t="s">
        <v>117</v>
      </c>
      <c r="F13" s="186" t="s">
        <v>120</v>
      </c>
      <c r="G13" s="186" t="s">
        <v>120</v>
      </c>
      <c r="H13" s="186" t="s">
        <v>120</v>
      </c>
    </row>
    <row r="14" spans="2:8" ht="15" customHeight="1">
      <c r="B14" s="189" t="s">
        <v>24</v>
      </c>
      <c r="C14" s="1255">
        <v>9081760</v>
      </c>
      <c r="D14" s="1256"/>
      <c r="E14" s="1256"/>
      <c r="F14" s="1256"/>
      <c r="G14" s="1256"/>
      <c r="H14" s="1257"/>
    </row>
    <row r="15" spans="2:8" ht="15" customHeight="1">
      <c r="B15" s="189" t="s">
        <v>123</v>
      </c>
      <c r="C15" s="1255">
        <v>230</v>
      </c>
      <c r="D15" s="1256"/>
      <c r="E15" s="1256"/>
      <c r="F15" s="1256"/>
      <c r="G15" s="1256"/>
      <c r="H15" s="1257"/>
    </row>
    <row r="16" spans="2:8">
      <c r="F16" s="190"/>
      <c r="H16" s="190"/>
    </row>
  </sheetData>
  <mergeCells count="5">
    <mergeCell ref="B4:B6"/>
    <mergeCell ref="C4:H4"/>
    <mergeCell ref="C6:H6"/>
    <mergeCell ref="C14:H14"/>
    <mergeCell ref="C15:H15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I21"/>
  <sheetViews>
    <sheetView showGridLines="0" zoomScaleNormal="100" workbookViewId="0">
      <selection sqref="A1:G17"/>
    </sheetView>
  </sheetViews>
  <sheetFormatPr baseColWidth="10" defaultColWidth="9.140625" defaultRowHeight="12.75"/>
  <cols>
    <col min="1" max="1" width="15.42578125" style="191" customWidth="1"/>
    <col min="2" max="2" width="10.85546875" style="191" customWidth="1"/>
    <col min="3" max="3" width="9.85546875" style="191" customWidth="1"/>
    <col min="4" max="13" width="11.7109375" style="191" customWidth="1"/>
    <col min="14" max="14" width="10.140625" style="191" bestFit="1" customWidth="1"/>
    <col min="15" max="16384" width="9.140625" style="191"/>
  </cols>
  <sheetData>
    <row r="2" spans="1:9" ht="15.75">
      <c r="A2" s="177" t="s">
        <v>124</v>
      </c>
      <c r="B2" s="177" t="s">
        <v>125</v>
      </c>
      <c r="C2" s="178"/>
    </row>
    <row r="3" spans="1:9" ht="15.75">
      <c r="A3" s="178"/>
      <c r="B3" s="177" t="s">
        <v>108</v>
      </c>
    </row>
    <row r="4" spans="1:9" ht="12.75" customHeight="1">
      <c r="A4" s="1258" t="s">
        <v>126</v>
      </c>
      <c r="B4" s="1260" t="s">
        <v>110</v>
      </c>
      <c r="C4" s="1261"/>
      <c r="D4" s="1261"/>
      <c r="E4" s="1261"/>
      <c r="F4" s="1261"/>
      <c r="G4" s="1262"/>
    </row>
    <row r="5" spans="1:9" ht="89.25">
      <c r="A5" s="1259"/>
      <c r="B5" s="192" t="s">
        <v>127</v>
      </c>
      <c r="C5" s="192" t="s">
        <v>128</v>
      </c>
      <c r="D5" s="192" t="s">
        <v>129</v>
      </c>
      <c r="E5" s="192" t="s">
        <v>130</v>
      </c>
      <c r="F5" s="192" t="s">
        <v>131</v>
      </c>
      <c r="G5" s="193" t="s">
        <v>24</v>
      </c>
    </row>
    <row r="6" spans="1:9" ht="15" customHeight="1">
      <c r="A6" s="194" t="s">
        <v>109</v>
      </c>
      <c r="B6" s="1263" t="s">
        <v>116</v>
      </c>
      <c r="C6" s="1264"/>
      <c r="D6" s="1264"/>
      <c r="E6" s="1264"/>
      <c r="F6" s="1264"/>
      <c r="G6" s="1265"/>
    </row>
    <row r="7" spans="1:9" ht="15" customHeight="1">
      <c r="A7" s="194" t="s">
        <v>132</v>
      </c>
      <c r="B7" s="195" t="s">
        <v>133</v>
      </c>
      <c r="C7" s="196">
        <v>2201842</v>
      </c>
      <c r="D7" s="195" t="s">
        <v>133</v>
      </c>
      <c r="E7" s="195" t="s">
        <v>133</v>
      </c>
      <c r="F7" s="195" t="s">
        <v>133</v>
      </c>
      <c r="G7" s="197"/>
      <c r="H7" s="198"/>
      <c r="I7" s="198"/>
    </row>
    <row r="8" spans="1:9" ht="15" customHeight="1">
      <c r="A8" s="194" t="s">
        <v>118</v>
      </c>
      <c r="B8" s="196">
        <v>11555</v>
      </c>
      <c r="C8" s="195" t="s">
        <v>133</v>
      </c>
      <c r="D8" s="196">
        <v>4505</v>
      </c>
      <c r="E8" s="196">
        <v>2219428</v>
      </c>
      <c r="F8" s="195" t="s">
        <v>134</v>
      </c>
      <c r="G8" s="199"/>
      <c r="H8" s="198"/>
      <c r="I8" s="198"/>
    </row>
    <row r="9" spans="1:9" ht="15" customHeight="1">
      <c r="A9" s="194" t="s">
        <v>135</v>
      </c>
      <c r="B9" s="195" t="s">
        <v>134</v>
      </c>
      <c r="C9" s="195" t="s">
        <v>133</v>
      </c>
      <c r="D9" s="195" t="s">
        <v>134</v>
      </c>
      <c r="E9" s="195" t="s">
        <v>133</v>
      </c>
      <c r="F9" s="195" t="s">
        <v>133</v>
      </c>
      <c r="G9" s="199"/>
      <c r="H9" s="198"/>
      <c r="I9" s="198"/>
    </row>
    <row r="10" spans="1:9" ht="15" customHeight="1">
      <c r="A10" s="194" t="s">
        <v>119</v>
      </c>
      <c r="B10" s="196">
        <v>368659</v>
      </c>
      <c r="C10" s="195" t="s">
        <v>133</v>
      </c>
      <c r="D10" s="196">
        <v>42321</v>
      </c>
      <c r="E10" s="196">
        <v>38086</v>
      </c>
      <c r="F10" s="195" t="s">
        <v>134</v>
      </c>
      <c r="G10" s="199"/>
      <c r="H10" s="198"/>
      <c r="I10" s="198"/>
    </row>
    <row r="11" spans="1:9" ht="15" customHeight="1">
      <c r="A11" s="194" t="s">
        <v>25</v>
      </c>
      <c r="B11" s="196">
        <v>421360</v>
      </c>
      <c r="C11" s="195" t="s">
        <v>133</v>
      </c>
      <c r="D11" s="195" t="s">
        <v>133</v>
      </c>
      <c r="E11" s="196">
        <v>36485</v>
      </c>
      <c r="F11" s="195" t="s">
        <v>133</v>
      </c>
      <c r="G11" s="199"/>
      <c r="H11" s="198"/>
      <c r="I11" s="198"/>
    </row>
    <row r="12" spans="1:9" ht="15" customHeight="1">
      <c r="A12" s="194" t="s">
        <v>121</v>
      </c>
      <c r="B12" s="196">
        <v>151178</v>
      </c>
      <c r="C12" s="195" t="s">
        <v>133</v>
      </c>
      <c r="D12" s="195" t="s">
        <v>134</v>
      </c>
      <c r="E12" s="196">
        <v>2797629</v>
      </c>
      <c r="F12" s="195" t="s">
        <v>134</v>
      </c>
      <c r="G12" s="199"/>
      <c r="H12" s="198"/>
      <c r="I12" s="198"/>
    </row>
    <row r="13" spans="1:9" ht="15" customHeight="1">
      <c r="A13" s="194" t="s">
        <v>10</v>
      </c>
      <c r="B13" s="196">
        <v>812960</v>
      </c>
      <c r="C13" s="195" t="s">
        <v>134</v>
      </c>
      <c r="D13" s="196">
        <v>14202</v>
      </c>
      <c r="E13" s="196">
        <v>1180106</v>
      </c>
      <c r="F13" s="195" t="s">
        <v>134</v>
      </c>
      <c r="G13" s="199"/>
      <c r="H13" s="198"/>
      <c r="I13" s="198"/>
    </row>
    <row r="14" spans="1:9" ht="15" customHeight="1">
      <c r="A14" s="194" t="s">
        <v>136</v>
      </c>
      <c r="B14" s="195" t="s">
        <v>134</v>
      </c>
      <c r="C14" s="195" t="s">
        <v>133</v>
      </c>
      <c r="D14" s="195" t="s">
        <v>134</v>
      </c>
      <c r="E14" s="196">
        <v>60854</v>
      </c>
      <c r="F14" s="195" t="s">
        <v>133</v>
      </c>
      <c r="G14" s="199"/>
      <c r="H14" s="198"/>
      <c r="I14" s="198"/>
    </row>
    <row r="15" spans="1:9" ht="15" customHeight="1">
      <c r="A15" s="194" t="s">
        <v>137</v>
      </c>
      <c r="B15" s="195" t="s">
        <v>133</v>
      </c>
      <c r="C15" s="195" t="s">
        <v>133</v>
      </c>
      <c r="D15" s="195" t="s">
        <v>133</v>
      </c>
      <c r="E15" s="196">
        <v>729510</v>
      </c>
      <c r="F15" s="195" t="s">
        <v>134</v>
      </c>
      <c r="G15" s="199"/>
      <c r="H15" s="198"/>
      <c r="I15" s="198"/>
    </row>
    <row r="16" spans="1:9" ht="15" customHeight="1">
      <c r="A16" s="194" t="s">
        <v>9</v>
      </c>
      <c r="B16" s="196">
        <v>7307014</v>
      </c>
      <c r="C16" s="196">
        <v>129769</v>
      </c>
      <c r="D16" s="196">
        <v>56085</v>
      </c>
      <c r="E16" s="196">
        <v>4414149</v>
      </c>
      <c r="F16" s="195" t="s">
        <v>134</v>
      </c>
      <c r="G16" s="199"/>
      <c r="H16" s="198"/>
      <c r="I16" s="198"/>
    </row>
    <row r="17" spans="1:9" ht="25.5">
      <c r="A17" s="194" t="s">
        <v>138</v>
      </c>
      <c r="B17" s="195" t="s">
        <v>133</v>
      </c>
      <c r="C17" s="195" t="s">
        <v>133</v>
      </c>
      <c r="D17" s="195" t="s">
        <v>134</v>
      </c>
      <c r="E17" s="196">
        <v>8463</v>
      </c>
      <c r="F17" s="195" t="s">
        <v>133</v>
      </c>
      <c r="G17" s="200"/>
      <c r="H17" s="198"/>
      <c r="I17" s="198"/>
    </row>
    <row r="18" spans="1:9" ht="15" customHeight="1">
      <c r="A18" s="201" t="s">
        <v>24</v>
      </c>
      <c r="B18" s="195">
        <v>9081760</v>
      </c>
      <c r="C18" s="195">
        <v>2333329</v>
      </c>
      <c r="D18" s="195">
        <v>132072</v>
      </c>
      <c r="E18" s="195">
        <v>11484710</v>
      </c>
      <c r="F18" s="195">
        <v>705266</v>
      </c>
      <c r="G18" s="195">
        <v>23737137</v>
      </c>
      <c r="H18" s="198"/>
      <c r="I18" s="198"/>
    </row>
    <row r="19" spans="1:9" ht="15" customHeight="1">
      <c r="A19" s="201" t="s">
        <v>123</v>
      </c>
      <c r="B19" s="202"/>
      <c r="C19" s="202"/>
      <c r="D19" s="202"/>
      <c r="E19" s="202"/>
      <c r="F19" s="202"/>
      <c r="G19" s="203">
        <v>582</v>
      </c>
      <c r="H19" s="198"/>
      <c r="I19" s="198"/>
    </row>
    <row r="20" spans="1:9">
      <c r="B20" s="198"/>
      <c r="C20" s="198"/>
      <c r="D20" s="198"/>
      <c r="E20" s="198"/>
      <c r="F20" s="198"/>
      <c r="G20" s="198"/>
    </row>
    <row r="21" spans="1:9">
      <c r="B21" s="198"/>
      <c r="C21" s="198"/>
      <c r="D21" s="198"/>
      <c r="E21" s="198"/>
      <c r="F21" s="198"/>
      <c r="G21" s="198"/>
      <c r="H21" s="198"/>
    </row>
  </sheetData>
  <mergeCells count="3">
    <mergeCell ref="A4:A5"/>
    <mergeCell ref="B4:G4"/>
    <mergeCell ref="B6:G6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&amp;LBundesanstalt für Landwirtschaft und Ernährung
Ref. 423&amp;CStruktur der Mühlenwirtschaft WJ 2012/13</oddHeader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P155"/>
  <sheetViews>
    <sheetView showGridLines="0" zoomScaleNormal="100" workbookViewId="0">
      <selection activeCell="C11" sqref="C11"/>
    </sheetView>
  </sheetViews>
  <sheetFormatPr baseColWidth="10" defaultColWidth="9.7109375" defaultRowHeight="12.75"/>
  <cols>
    <col min="1" max="1" width="14.140625" style="76" customWidth="1"/>
    <col min="2" max="2" width="9.7109375" style="76" customWidth="1"/>
    <col min="3" max="6" width="12.42578125" style="76" customWidth="1"/>
    <col min="7" max="7" width="11.140625" style="76" bestFit="1" customWidth="1"/>
    <col min="8" max="8" width="10.140625" style="76" customWidth="1"/>
    <col min="9" max="9" width="10.7109375" style="76" bestFit="1" customWidth="1"/>
    <col min="10" max="10" width="9.7109375" style="76"/>
    <col min="11" max="11" width="10.7109375" style="76" bestFit="1" customWidth="1"/>
    <col min="12" max="16384" width="9.7109375" style="76"/>
  </cols>
  <sheetData>
    <row r="2" spans="1:7" ht="15.75">
      <c r="A2" s="75" t="s">
        <v>38</v>
      </c>
    </row>
    <row r="3" spans="1:7" ht="15.75">
      <c r="A3" s="77" t="s">
        <v>39</v>
      </c>
      <c r="B3" s="78"/>
    </row>
    <row r="4" spans="1:7" ht="15.75">
      <c r="B4" s="77"/>
    </row>
    <row r="5" spans="1:7">
      <c r="A5" s="79"/>
      <c r="B5" s="80" t="s">
        <v>40</v>
      </c>
      <c r="C5" s="81" t="s">
        <v>41</v>
      </c>
      <c r="D5" s="81"/>
      <c r="E5" s="82"/>
      <c r="F5" s="82"/>
      <c r="G5" s="80" t="s">
        <v>42</v>
      </c>
    </row>
    <row r="6" spans="1:7" ht="14.25">
      <c r="A6" s="83" t="s">
        <v>99</v>
      </c>
      <c r="B6" s="84" t="s">
        <v>43</v>
      </c>
      <c r="C6" s="85" t="s">
        <v>9</v>
      </c>
      <c r="D6" s="84" t="s">
        <v>25</v>
      </c>
      <c r="E6" s="86" t="s">
        <v>10</v>
      </c>
      <c r="F6" s="85" t="s">
        <v>44</v>
      </c>
      <c r="G6" s="84" t="s">
        <v>45</v>
      </c>
    </row>
    <row r="7" spans="1:7">
      <c r="A7" s="87"/>
      <c r="B7" s="88"/>
      <c r="C7" s="89"/>
      <c r="D7" s="88"/>
      <c r="E7" s="90"/>
      <c r="F7" s="89"/>
      <c r="G7" s="88" t="s">
        <v>46</v>
      </c>
    </row>
    <row r="8" spans="1:7" s="95" customFormat="1" ht="20.100000000000001" customHeight="1">
      <c r="A8" s="91"/>
      <c r="B8" s="92"/>
      <c r="C8" s="93" t="s">
        <v>100</v>
      </c>
      <c r="D8" s="93"/>
      <c r="E8" s="94"/>
      <c r="F8" s="94"/>
      <c r="G8" s="92"/>
    </row>
    <row r="9" spans="1:7">
      <c r="A9" s="96" t="s">
        <v>47</v>
      </c>
      <c r="B9" s="97">
        <v>14562</v>
      </c>
      <c r="C9" s="98">
        <v>3578368</v>
      </c>
      <c r="D9" s="98">
        <v>34369</v>
      </c>
      <c r="E9" s="98">
        <v>2198300</v>
      </c>
      <c r="F9" s="98">
        <f>SUM(C9:E9)</f>
        <v>5811037</v>
      </c>
      <c r="G9" s="97">
        <f>F9/B9</f>
        <v>399.05486883669823</v>
      </c>
    </row>
    <row r="10" spans="1:7">
      <c r="A10" s="96" t="s">
        <v>48</v>
      </c>
      <c r="B10" s="97">
        <v>8184</v>
      </c>
      <c r="C10" s="98">
        <v>4257769</v>
      </c>
      <c r="D10" s="98">
        <v>327253</v>
      </c>
      <c r="E10" s="98">
        <v>1486440</v>
      </c>
      <c r="F10" s="98">
        <f>SUM(C10:E10)</f>
        <v>6071462</v>
      </c>
      <c r="G10" s="97">
        <f>F10/B10</f>
        <v>741.8697458455523</v>
      </c>
    </row>
    <row r="11" spans="1:7">
      <c r="A11" s="96" t="s">
        <v>49</v>
      </c>
      <c r="B11" s="97">
        <v>4746</v>
      </c>
      <c r="C11" s="98">
        <v>3735788</v>
      </c>
      <c r="D11" s="98">
        <v>277435</v>
      </c>
      <c r="E11" s="98">
        <v>1141220</v>
      </c>
      <c r="F11" s="98">
        <f>SUM(C11:E11)</f>
        <v>5154443</v>
      </c>
      <c r="G11" s="97">
        <f>F11/B11</f>
        <v>1086.0604719764012</v>
      </c>
    </row>
    <row r="12" spans="1:7">
      <c r="A12" s="96" t="s">
        <v>50</v>
      </c>
      <c r="B12" s="97">
        <v>2984</v>
      </c>
      <c r="C12" s="98">
        <v>3847544</v>
      </c>
      <c r="D12" s="98">
        <v>185019</v>
      </c>
      <c r="E12" s="98">
        <v>983501</v>
      </c>
      <c r="F12" s="98">
        <f>SUM(C12:E12)</f>
        <v>5016064</v>
      </c>
      <c r="G12" s="97">
        <f>F12/B12</f>
        <v>1680.9865951742627</v>
      </c>
    </row>
    <row r="13" spans="1:7">
      <c r="A13" s="99"/>
      <c r="B13" s="100"/>
      <c r="C13" s="101"/>
      <c r="D13" s="101"/>
      <c r="E13" s="101"/>
      <c r="F13" s="101"/>
      <c r="G13" s="100"/>
    </row>
    <row r="14" spans="1:7">
      <c r="A14" s="96" t="s">
        <v>51</v>
      </c>
      <c r="B14" s="97">
        <v>2124</v>
      </c>
      <c r="C14" s="98">
        <v>4640403</v>
      </c>
      <c r="D14" s="98">
        <v>148482</v>
      </c>
      <c r="E14" s="98">
        <v>1001890</v>
      </c>
      <c r="F14" s="98">
        <f>SUM(C14:E14)</f>
        <v>5790775</v>
      </c>
      <c r="G14" s="97">
        <f>F14/B14</f>
        <v>2726.3535781544256</v>
      </c>
    </row>
    <row r="15" spans="1:7" hidden="1">
      <c r="A15" s="96" t="s">
        <v>52</v>
      </c>
      <c r="B15" s="97">
        <v>2028</v>
      </c>
      <c r="C15" s="98">
        <v>4548089</v>
      </c>
      <c r="D15" s="98">
        <v>142282</v>
      </c>
      <c r="E15" s="98">
        <v>984940</v>
      </c>
      <c r="F15" s="98">
        <f>SUM(C15:E15)</f>
        <v>5675311</v>
      </c>
      <c r="G15" s="97">
        <f>F15/B15</f>
        <v>2798.4768244575935</v>
      </c>
    </row>
    <row r="16" spans="1:7">
      <c r="A16" s="96" t="s">
        <v>53</v>
      </c>
      <c r="B16" s="97">
        <v>2009</v>
      </c>
      <c r="C16" s="98">
        <v>4190612</v>
      </c>
      <c r="D16" s="98">
        <v>131772</v>
      </c>
      <c r="E16" s="98">
        <v>963147</v>
      </c>
      <c r="F16" s="98">
        <f>SUM(C16:E16)</f>
        <v>5285531</v>
      </c>
      <c r="G16" s="97">
        <f>F16/B16</f>
        <v>2630.926331508213</v>
      </c>
    </row>
    <row r="17" spans="1:7">
      <c r="A17" s="99"/>
      <c r="B17" s="100"/>
      <c r="C17" s="101"/>
      <c r="D17" s="101"/>
      <c r="E17" s="101"/>
      <c r="F17" s="101"/>
      <c r="G17" s="100"/>
    </row>
    <row r="18" spans="1:7" ht="14.25">
      <c r="A18" s="96" t="s">
        <v>101</v>
      </c>
      <c r="B18" s="97">
        <v>733</v>
      </c>
      <c r="C18" s="98">
        <v>4158612</v>
      </c>
      <c r="D18" s="98">
        <v>131772</v>
      </c>
      <c r="E18" s="98">
        <v>923247</v>
      </c>
      <c r="F18" s="98">
        <f>SUM(C18:E18)</f>
        <v>5213631</v>
      </c>
      <c r="G18" s="97">
        <f>F18/B18</f>
        <v>7112.729877216917</v>
      </c>
    </row>
    <row r="19" spans="1:7" hidden="1">
      <c r="A19" s="96" t="s">
        <v>54</v>
      </c>
      <c r="B19" s="97">
        <v>699</v>
      </c>
      <c r="C19" s="98">
        <v>4288203</v>
      </c>
      <c r="D19" s="98">
        <v>137806</v>
      </c>
      <c r="E19" s="98">
        <v>926261</v>
      </c>
      <c r="F19" s="98">
        <f>SUM(C19:E19)</f>
        <v>5352270</v>
      </c>
      <c r="G19" s="97">
        <f>F19/B19</f>
        <v>7657.038626609442</v>
      </c>
    </row>
    <row r="20" spans="1:7" hidden="1">
      <c r="A20" s="96" t="s">
        <v>55</v>
      </c>
      <c r="B20" s="97">
        <v>683</v>
      </c>
      <c r="C20" s="98">
        <v>4375418</v>
      </c>
      <c r="D20" s="98">
        <v>141775</v>
      </c>
      <c r="E20" s="98">
        <v>928912</v>
      </c>
      <c r="F20" s="98">
        <f>SUM(C20:E20)</f>
        <v>5446105</v>
      </c>
      <c r="G20" s="97">
        <f>F20/B20</f>
        <v>7973.799414348463</v>
      </c>
    </row>
    <row r="21" spans="1:7">
      <c r="A21" s="99"/>
      <c r="B21" s="100"/>
      <c r="C21" s="101"/>
      <c r="D21" s="101"/>
      <c r="E21" s="101"/>
      <c r="F21" s="101"/>
      <c r="G21" s="100"/>
    </row>
    <row r="22" spans="1:7">
      <c r="A22" s="96" t="s">
        <v>56</v>
      </c>
      <c r="B22" s="97">
        <v>659</v>
      </c>
      <c r="C22" s="98">
        <v>4360242</v>
      </c>
      <c r="D22" s="98">
        <v>137515</v>
      </c>
      <c r="E22" s="98">
        <v>934450</v>
      </c>
      <c r="F22" s="98">
        <f>SUM(C22:E22)</f>
        <v>5432207</v>
      </c>
      <c r="G22" s="97">
        <f t="shared" ref="G22:G27" si="0">F22/B22</f>
        <v>8243.1062215477996</v>
      </c>
    </row>
    <row r="23" spans="1:7" hidden="1">
      <c r="A23" s="96" t="s">
        <v>57</v>
      </c>
      <c r="B23" s="97">
        <v>632</v>
      </c>
      <c r="C23" s="98">
        <v>4167618</v>
      </c>
      <c r="D23" s="98">
        <v>146174</v>
      </c>
      <c r="E23" s="98">
        <v>896977</v>
      </c>
      <c r="F23" s="98">
        <f>SUM(C23:E23)</f>
        <v>5210769</v>
      </c>
      <c r="G23" s="97">
        <f t="shared" si="0"/>
        <v>8244.8876582278481</v>
      </c>
    </row>
    <row r="24" spans="1:7" hidden="1">
      <c r="A24" s="96" t="s">
        <v>58</v>
      </c>
      <c r="B24" s="97">
        <v>616</v>
      </c>
      <c r="C24" s="98">
        <v>4411702</v>
      </c>
      <c r="D24" s="98">
        <v>170002</v>
      </c>
      <c r="E24" s="98">
        <v>898183</v>
      </c>
      <c r="F24" s="98">
        <f>SUM(C24:E24)</f>
        <v>5479887</v>
      </c>
      <c r="G24" s="97">
        <f t="shared" si="0"/>
        <v>8895.920454545454</v>
      </c>
    </row>
    <row r="25" spans="1:7" hidden="1">
      <c r="A25" s="96" t="s">
        <v>59</v>
      </c>
      <c r="B25" s="97">
        <v>596</v>
      </c>
      <c r="C25" s="98">
        <v>4460160</v>
      </c>
      <c r="D25" s="98">
        <v>183506</v>
      </c>
      <c r="E25" s="98">
        <v>870984</v>
      </c>
      <c r="F25" s="98">
        <f>SUM(C25:E25)</f>
        <v>5514650</v>
      </c>
      <c r="G25" s="97">
        <f t="shared" si="0"/>
        <v>9252.7684563758394</v>
      </c>
    </row>
    <row r="26" spans="1:7" hidden="1">
      <c r="A26" s="96" t="s">
        <v>60</v>
      </c>
      <c r="B26" s="97">
        <v>585</v>
      </c>
      <c r="C26" s="98">
        <v>4536605</v>
      </c>
      <c r="D26" s="98">
        <v>198757</v>
      </c>
      <c r="E26" s="98">
        <v>862938</v>
      </c>
      <c r="F26" s="98">
        <v>5598300</v>
      </c>
      <c r="G26" s="97">
        <f t="shared" si="0"/>
        <v>9569.7435897435898</v>
      </c>
    </row>
    <row r="27" spans="1:7">
      <c r="A27" s="96" t="s">
        <v>61</v>
      </c>
      <c r="B27" s="97">
        <v>560</v>
      </c>
      <c r="C27" s="98">
        <v>5080142</v>
      </c>
      <c r="D27" s="98">
        <v>213270</v>
      </c>
      <c r="E27" s="98">
        <v>937853</v>
      </c>
      <c r="F27" s="98">
        <f>SUM(C27:E27)</f>
        <v>6231265</v>
      </c>
      <c r="G27" s="97">
        <f t="shared" si="0"/>
        <v>11127.258928571429</v>
      </c>
    </row>
    <row r="28" spans="1:7" ht="20.100000000000001" customHeight="1">
      <c r="A28" s="99"/>
      <c r="B28" s="102"/>
      <c r="C28" s="103" t="s">
        <v>102</v>
      </c>
      <c r="D28" s="103"/>
      <c r="E28" s="104"/>
      <c r="F28" s="104"/>
      <c r="G28" s="100"/>
    </row>
    <row r="29" spans="1:7">
      <c r="A29" s="96" t="s">
        <v>47</v>
      </c>
      <c r="B29" s="97">
        <v>4373</v>
      </c>
      <c r="C29" s="98">
        <v>1123000</v>
      </c>
      <c r="D29" s="98">
        <v>52000</v>
      </c>
      <c r="E29" s="98">
        <v>1645000</v>
      </c>
      <c r="F29" s="98">
        <f>SUM(C29:E29)</f>
        <v>2820000</v>
      </c>
      <c r="G29" s="97">
        <f>F29/B29</f>
        <v>644.86622455979875</v>
      </c>
    </row>
    <row r="30" spans="1:7">
      <c r="A30" s="96" t="s">
        <v>48</v>
      </c>
      <c r="B30" s="97">
        <v>998</v>
      </c>
      <c r="C30" s="98">
        <v>960000</v>
      </c>
      <c r="D30" s="98">
        <v>49000</v>
      </c>
      <c r="E30" s="98">
        <v>1012000</v>
      </c>
      <c r="F30" s="98">
        <f>SUM(C30:E30)</f>
        <v>2021000</v>
      </c>
      <c r="G30" s="97">
        <f>F30/B30</f>
        <v>2025.0501002004007</v>
      </c>
    </row>
    <row r="31" spans="1:7">
      <c r="A31" s="96" t="s">
        <v>49</v>
      </c>
      <c r="B31" s="97">
        <v>674</v>
      </c>
      <c r="C31" s="98">
        <v>1119000</v>
      </c>
      <c r="D31" s="98">
        <v>80000</v>
      </c>
      <c r="E31" s="98">
        <v>784000</v>
      </c>
      <c r="F31" s="98">
        <f>SUM(C31:E31)</f>
        <v>1983000</v>
      </c>
      <c r="G31" s="97">
        <f>F31/B31</f>
        <v>2942.1364985163204</v>
      </c>
    </row>
    <row r="32" spans="1:7">
      <c r="A32" s="96" t="s">
        <v>50</v>
      </c>
      <c r="B32" s="97">
        <v>478</v>
      </c>
      <c r="C32" s="98">
        <v>1158000</v>
      </c>
      <c r="D32" s="98">
        <v>99000</v>
      </c>
      <c r="E32" s="98">
        <v>666000</v>
      </c>
      <c r="F32" s="98">
        <f>SUM(C32:E32)</f>
        <v>1923000</v>
      </c>
      <c r="G32" s="97">
        <f>F32/B32</f>
        <v>4023.0125523012553</v>
      </c>
    </row>
    <row r="33" spans="1:7">
      <c r="A33" s="99"/>
      <c r="B33" s="100"/>
      <c r="C33" s="101"/>
      <c r="D33" s="101"/>
      <c r="E33" s="101"/>
      <c r="F33" s="101"/>
      <c r="G33" s="100"/>
    </row>
    <row r="34" spans="1:7">
      <c r="A34" s="96" t="s">
        <v>51</v>
      </c>
      <c r="B34" s="97">
        <v>436</v>
      </c>
      <c r="C34" s="98">
        <v>1199000</v>
      </c>
      <c r="D34" s="98">
        <v>100000</v>
      </c>
      <c r="E34" s="98">
        <v>621000</v>
      </c>
      <c r="F34" s="98">
        <f>SUM(C34:E34)</f>
        <v>1920000</v>
      </c>
      <c r="G34" s="97">
        <f>F34/B34</f>
        <v>4403.6697247706425</v>
      </c>
    </row>
    <row r="35" spans="1:7" hidden="1">
      <c r="A35" s="96" t="s">
        <v>52</v>
      </c>
      <c r="B35" s="97">
        <v>427</v>
      </c>
      <c r="C35" s="98">
        <v>1236000</v>
      </c>
      <c r="D35" s="98">
        <v>96000</v>
      </c>
      <c r="E35" s="98">
        <v>630000</v>
      </c>
      <c r="F35" s="98">
        <f>SUM(C35:E35)</f>
        <v>1962000</v>
      </c>
      <c r="G35" s="97">
        <f>F35/B35</f>
        <v>4594.8477751756436</v>
      </c>
    </row>
    <row r="36" spans="1:7">
      <c r="A36" s="96" t="s">
        <v>53</v>
      </c>
      <c r="B36" s="97">
        <v>417</v>
      </c>
      <c r="C36" s="98">
        <v>1193000</v>
      </c>
      <c r="D36" s="98">
        <v>59000</v>
      </c>
      <c r="E36" s="98">
        <v>719000</v>
      </c>
      <c r="F36" s="98">
        <f>SUM(C36:E36)</f>
        <v>1971000</v>
      </c>
      <c r="G36" s="97">
        <f>F36/B36</f>
        <v>4726.6187050359713</v>
      </c>
    </row>
    <row r="37" spans="1:7" hidden="1">
      <c r="A37" s="96" t="s">
        <v>54</v>
      </c>
      <c r="B37" s="97">
        <v>415</v>
      </c>
      <c r="C37" s="98">
        <v>1244000</v>
      </c>
      <c r="D37" s="98">
        <v>54000</v>
      </c>
      <c r="E37" s="98">
        <v>740000</v>
      </c>
      <c r="F37" s="98">
        <f>SUM(C37:E37)</f>
        <v>2038000</v>
      </c>
      <c r="G37" s="97">
        <f>F37/B37</f>
        <v>4910.8433734939763</v>
      </c>
    </row>
    <row r="38" spans="1:7" hidden="1">
      <c r="A38" s="96" t="s">
        <v>55</v>
      </c>
      <c r="B38" s="97">
        <v>413</v>
      </c>
      <c r="C38" s="98">
        <v>1232000</v>
      </c>
      <c r="D38" s="98">
        <v>61000</v>
      </c>
      <c r="E38" s="98">
        <v>727000</v>
      </c>
      <c r="F38" s="98">
        <f>SUM(C38:E38)</f>
        <v>2020000</v>
      </c>
      <c r="G38" s="97">
        <f>F38/B38</f>
        <v>4891.0411622276033</v>
      </c>
    </row>
    <row r="39" spans="1:7" ht="12.75" customHeight="1">
      <c r="A39" s="99"/>
      <c r="B39" s="100"/>
      <c r="C39" s="101"/>
      <c r="D39" s="101"/>
      <c r="E39" s="101"/>
      <c r="F39" s="101"/>
      <c r="G39" s="100"/>
    </row>
    <row r="40" spans="1:7">
      <c r="A40" s="96" t="s">
        <v>56</v>
      </c>
      <c r="B40" s="97">
        <v>403</v>
      </c>
      <c r="C40" s="98">
        <v>1223000</v>
      </c>
      <c r="D40" s="98">
        <v>50000</v>
      </c>
      <c r="E40" s="98">
        <v>729000</v>
      </c>
      <c r="F40" s="98">
        <f>SUM(C40:E40)</f>
        <v>2002000</v>
      </c>
      <c r="G40" s="97">
        <f>F40/B40</f>
        <v>4967.7419354838712</v>
      </c>
    </row>
    <row r="41" spans="1:7" hidden="1">
      <c r="A41" s="96" t="s">
        <v>57</v>
      </c>
      <c r="B41" s="97">
        <v>391</v>
      </c>
      <c r="C41" s="98">
        <v>1237000</v>
      </c>
      <c r="D41" s="98">
        <v>59000</v>
      </c>
      <c r="E41" s="98">
        <v>728000</v>
      </c>
      <c r="F41" s="98">
        <f>SUM(C41:E41)</f>
        <v>2024000</v>
      </c>
      <c r="G41" s="97">
        <f>F41/B41</f>
        <v>5176.4705882352937</v>
      </c>
    </row>
    <row r="42" spans="1:7" hidden="1">
      <c r="A42" s="96" t="s">
        <v>58</v>
      </c>
      <c r="B42" s="97">
        <v>382</v>
      </c>
      <c r="C42" s="98">
        <v>1261000</v>
      </c>
      <c r="D42" s="98">
        <v>60000</v>
      </c>
      <c r="E42" s="98">
        <v>737000</v>
      </c>
      <c r="F42" s="98">
        <f>SUM(C42:E42)</f>
        <v>2058000</v>
      </c>
      <c r="G42" s="97">
        <f>F42/B42</f>
        <v>5387.4345549738218</v>
      </c>
    </row>
    <row r="43" spans="1:7" hidden="1">
      <c r="A43" s="96" t="s">
        <v>59</v>
      </c>
      <c r="B43" s="97">
        <v>378</v>
      </c>
      <c r="C43" s="98">
        <v>1249000</v>
      </c>
      <c r="D43" s="98">
        <v>53000</v>
      </c>
      <c r="E43" s="98">
        <v>706000</v>
      </c>
      <c r="F43" s="98">
        <f>SUM(C43:E43)</f>
        <v>2008000</v>
      </c>
      <c r="G43" s="97">
        <f>F43/B43</f>
        <v>5312.1693121693124</v>
      </c>
    </row>
    <row r="44" spans="1:7" hidden="1">
      <c r="A44" s="96" t="s">
        <v>60</v>
      </c>
      <c r="B44" s="97">
        <v>166</v>
      </c>
      <c r="C44" s="105" t="s">
        <v>62</v>
      </c>
      <c r="D44" s="105" t="s">
        <v>62</v>
      </c>
      <c r="E44" s="105" t="s">
        <v>62</v>
      </c>
      <c r="F44" s="105" t="s">
        <v>62</v>
      </c>
      <c r="G44" s="106" t="s">
        <v>62</v>
      </c>
    </row>
    <row r="45" spans="1:7">
      <c r="A45" s="96" t="s">
        <v>61</v>
      </c>
      <c r="B45" s="97">
        <v>126</v>
      </c>
      <c r="C45" s="98">
        <v>735011</v>
      </c>
      <c r="D45" s="98">
        <v>10209</v>
      </c>
      <c r="E45" s="98">
        <v>242009</v>
      </c>
      <c r="F45" s="98">
        <f>SUM(C45:E45)</f>
        <v>987229</v>
      </c>
      <c r="G45" s="97">
        <f>F45/B45</f>
        <v>7835.1507936507933</v>
      </c>
    </row>
    <row r="46" spans="1:7" ht="20.100000000000001" customHeight="1">
      <c r="A46" s="96"/>
      <c r="B46" s="97"/>
      <c r="C46" s="103" t="s">
        <v>30</v>
      </c>
      <c r="D46" s="103"/>
      <c r="E46" s="107"/>
      <c r="F46" s="107"/>
      <c r="G46" s="97"/>
    </row>
    <row r="47" spans="1:7" hidden="1">
      <c r="A47" s="96" t="s">
        <v>61</v>
      </c>
      <c r="B47" s="97">
        <v>686</v>
      </c>
      <c r="C47" s="98">
        <v>5815153</v>
      </c>
      <c r="D47" s="108">
        <v>223479</v>
      </c>
      <c r="E47" s="98">
        <v>1179862</v>
      </c>
      <c r="F47" s="98">
        <v>7218494</v>
      </c>
      <c r="G47" s="97">
        <v>10523</v>
      </c>
    </row>
    <row r="48" spans="1:7" hidden="1">
      <c r="A48" s="109" t="s">
        <v>63</v>
      </c>
      <c r="B48" s="97">
        <v>648</v>
      </c>
      <c r="C48" s="98">
        <v>5782603</v>
      </c>
      <c r="D48" s="98">
        <v>226649</v>
      </c>
      <c r="E48" s="98">
        <v>1105916</v>
      </c>
      <c r="F48" s="98">
        <v>7115168</v>
      </c>
      <c r="G48" s="97">
        <v>10980</v>
      </c>
    </row>
    <row r="49" spans="1:9" hidden="1">
      <c r="A49" s="110" t="s">
        <v>64</v>
      </c>
      <c r="B49" s="111">
        <v>630</v>
      </c>
      <c r="C49" s="112">
        <v>5821085</v>
      </c>
      <c r="D49" s="113">
        <v>223597</v>
      </c>
      <c r="E49" s="112">
        <v>1128093</v>
      </c>
      <c r="F49" s="112">
        <v>7172775</v>
      </c>
      <c r="G49" s="111">
        <f t="shared" ref="G49:G58" si="1">(F49/B49)</f>
        <v>11385.357142857143</v>
      </c>
    </row>
    <row r="50" spans="1:9" hidden="1">
      <c r="A50" s="114" t="s">
        <v>65</v>
      </c>
      <c r="B50" s="115">
        <v>613</v>
      </c>
      <c r="C50" s="116">
        <v>5858529</v>
      </c>
      <c r="D50" s="117">
        <v>257493</v>
      </c>
      <c r="E50" s="116">
        <v>1076071</v>
      </c>
      <c r="F50" s="116">
        <v>7192093</v>
      </c>
      <c r="G50" s="115">
        <f t="shared" si="1"/>
        <v>11732.615008156607</v>
      </c>
    </row>
    <row r="51" spans="1:9" hidden="1">
      <c r="A51" s="114" t="s">
        <v>66</v>
      </c>
      <c r="B51" s="115">
        <v>558</v>
      </c>
      <c r="C51" s="116">
        <v>5850650</v>
      </c>
      <c r="D51" s="117">
        <v>274491</v>
      </c>
      <c r="E51" s="116">
        <v>1032456</v>
      </c>
      <c r="F51" s="116">
        <v>7157597</v>
      </c>
      <c r="G51" s="115">
        <f t="shared" si="1"/>
        <v>12827.234767025089</v>
      </c>
    </row>
    <row r="52" spans="1:9">
      <c r="A52" s="114" t="s">
        <v>67</v>
      </c>
      <c r="B52" s="115">
        <v>539</v>
      </c>
      <c r="C52" s="116">
        <v>5881428</v>
      </c>
      <c r="D52" s="117">
        <v>293166</v>
      </c>
      <c r="E52" s="116">
        <v>1039986</v>
      </c>
      <c r="F52" s="118">
        <f t="shared" ref="F52:F64" si="2">SUM(C52:E52)</f>
        <v>7214580</v>
      </c>
      <c r="G52" s="115">
        <f>(F52/B52)</f>
        <v>13385.120593692021</v>
      </c>
    </row>
    <row r="53" spans="1:9" hidden="1">
      <c r="A53" s="114" t="s">
        <v>68</v>
      </c>
      <c r="B53" s="115">
        <v>534</v>
      </c>
      <c r="C53" s="116">
        <v>6145335</v>
      </c>
      <c r="D53" s="117">
        <v>307971</v>
      </c>
      <c r="E53" s="116">
        <v>1020277</v>
      </c>
      <c r="F53" s="116">
        <f t="shared" si="2"/>
        <v>7473583</v>
      </c>
      <c r="G53" s="115">
        <f t="shared" si="1"/>
        <v>13995.473782771536</v>
      </c>
    </row>
    <row r="54" spans="1:9" hidden="1">
      <c r="A54" s="114" t="s">
        <v>69</v>
      </c>
      <c r="B54" s="115">
        <v>515</v>
      </c>
      <c r="C54" s="119">
        <v>6262983</v>
      </c>
      <c r="D54" s="117">
        <f>25906+232879+61100</f>
        <v>319885</v>
      </c>
      <c r="E54" s="116">
        <v>1009632</v>
      </c>
      <c r="F54" s="120">
        <f t="shared" si="2"/>
        <v>7592500</v>
      </c>
      <c r="G54" s="115">
        <f t="shared" si="1"/>
        <v>14742.718446601943</v>
      </c>
    </row>
    <row r="55" spans="1:9" hidden="1">
      <c r="A55" s="114" t="s">
        <v>70</v>
      </c>
      <c r="B55" s="115">
        <v>488</v>
      </c>
      <c r="C55" s="119">
        <v>6170380</v>
      </c>
      <c r="D55" s="117">
        <v>296969</v>
      </c>
      <c r="E55" s="116">
        <v>981368</v>
      </c>
      <c r="F55" s="120">
        <f t="shared" si="2"/>
        <v>7448717</v>
      </c>
      <c r="G55" s="115">
        <f>(F55/B55)</f>
        <v>15263.764344262296</v>
      </c>
    </row>
    <row r="56" spans="1:9">
      <c r="A56" s="114" t="s">
        <v>71</v>
      </c>
      <c r="B56" s="115">
        <v>465</v>
      </c>
      <c r="C56" s="108">
        <f>SUM(C79,C94,C109,C124)</f>
        <v>6499409</v>
      </c>
      <c r="D56" s="108">
        <v>325452</v>
      </c>
      <c r="E56" s="108">
        <f>SUM(D79,D94,D109,D124)</f>
        <v>948836</v>
      </c>
      <c r="F56" s="118">
        <f t="shared" si="2"/>
        <v>7773697</v>
      </c>
      <c r="G56" s="115">
        <f>(F56/B56)</f>
        <v>16717.627956989247</v>
      </c>
      <c r="I56" s="121"/>
    </row>
    <row r="57" spans="1:9" ht="14.25">
      <c r="A57" s="114" t="s">
        <v>103</v>
      </c>
      <c r="B57" s="115">
        <v>361</v>
      </c>
      <c r="C57" s="108">
        <f>SUM(C80,C95,C110,C125)</f>
        <v>6332594</v>
      </c>
      <c r="D57" s="108">
        <v>353670</v>
      </c>
      <c r="E57" s="108">
        <f>SUM(D80,D95,D110,D125)</f>
        <v>935691</v>
      </c>
      <c r="F57" s="118">
        <f t="shared" si="2"/>
        <v>7621955</v>
      </c>
      <c r="G57" s="115">
        <f>(F57/B57)</f>
        <v>21113.448753462602</v>
      </c>
      <c r="I57" s="121"/>
    </row>
    <row r="58" spans="1:9" hidden="1">
      <c r="A58" s="114" t="s">
        <v>72</v>
      </c>
      <c r="B58" s="115">
        <v>345</v>
      </c>
      <c r="C58" s="108">
        <f>SUM(C81,C96,C111,C126)</f>
        <v>6664333</v>
      </c>
      <c r="D58" s="108" t="e">
        <f>SUM(#REF!,#REF!,#REF!,#REF!)</f>
        <v>#REF!</v>
      </c>
      <c r="E58" s="108">
        <f>SUM(D81,D96,D111,D126)</f>
        <v>950522</v>
      </c>
      <c r="F58" s="120" t="e">
        <f t="shared" si="2"/>
        <v>#REF!</v>
      </c>
      <c r="G58" s="115" t="e">
        <f t="shared" si="1"/>
        <v>#REF!</v>
      </c>
      <c r="I58" s="122"/>
    </row>
    <row r="59" spans="1:9" hidden="1">
      <c r="A59" s="114" t="s">
        <v>73</v>
      </c>
      <c r="B59" s="115">
        <v>347</v>
      </c>
      <c r="C59" s="108">
        <f>SUM(C82,C97,C112,C127)</f>
        <v>6661791</v>
      </c>
      <c r="D59" s="108">
        <v>330429</v>
      </c>
      <c r="E59" s="108">
        <f>SUM(D82,D97,D112,D127)</f>
        <v>941202</v>
      </c>
      <c r="F59" s="118">
        <f>SUM(C59:E59)</f>
        <v>7933422</v>
      </c>
      <c r="G59" s="115">
        <v>22862.887608069163</v>
      </c>
      <c r="I59" s="121"/>
    </row>
    <row r="60" spans="1:9" hidden="1">
      <c r="A60" s="114" t="s">
        <v>74</v>
      </c>
      <c r="B60" s="115">
        <v>336</v>
      </c>
      <c r="C60" s="123">
        <v>6525111</v>
      </c>
      <c r="D60" s="124">
        <v>327748</v>
      </c>
      <c r="E60" s="108">
        <v>909010</v>
      </c>
      <c r="F60" s="118">
        <f t="shared" si="2"/>
        <v>7761869</v>
      </c>
      <c r="G60" s="115">
        <f>(F60/B60)</f>
        <v>23100.800595238095</v>
      </c>
    </row>
    <row r="61" spans="1:9">
      <c r="A61" s="114" t="s">
        <v>75</v>
      </c>
      <c r="B61" s="115">
        <v>333</v>
      </c>
      <c r="C61" s="123">
        <v>6538168</v>
      </c>
      <c r="D61" s="124">
        <v>340300</v>
      </c>
      <c r="E61" s="108">
        <v>894724</v>
      </c>
      <c r="F61" s="118">
        <f t="shared" si="2"/>
        <v>7773192</v>
      </c>
      <c r="G61" s="115">
        <f>(F61/B61)</f>
        <v>23342.91891891892</v>
      </c>
    </row>
    <row r="62" spans="1:9">
      <c r="A62" s="114" t="s">
        <v>76</v>
      </c>
      <c r="B62" s="115">
        <v>318</v>
      </c>
      <c r="C62" s="123">
        <v>6832234</v>
      </c>
      <c r="D62" s="124">
        <v>377782</v>
      </c>
      <c r="E62" s="108">
        <v>902189</v>
      </c>
      <c r="F62" s="118">
        <f t="shared" si="2"/>
        <v>8112205</v>
      </c>
      <c r="G62" s="115">
        <f>(F62/B62)</f>
        <v>25510.078616352203</v>
      </c>
    </row>
    <row r="63" spans="1:9" s="125" customFormat="1">
      <c r="A63" s="114" t="s">
        <v>77</v>
      </c>
      <c r="B63" s="115">
        <v>317</v>
      </c>
      <c r="C63" s="123">
        <v>6666698</v>
      </c>
      <c r="D63" s="124">
        <v>379908</v>
      </c>
      <c r="E63" s="108">
        <v>893889</v>
      </c>
      <c r="F63" s="118">
        <f>SUM(C63:E63)</f>
        <v>7940495</v>
      </c>
      <c r="G63" s="115">
        <f>(F63/B63)</f>
        <v>25048.880126182965</v>
      </c>
      <c r="H63" s="76"/>
      <c r="I63" s="76"/>
    </row>
    <row r="64" spans="1:9" s="125" customFormat="1">
      <c r="A64" s="114" t="s">
        <v>78</v>
      </c>
      <c r="B64" s="115">
        <v>308</v>
      </c>
      <c r="C64" s="123">
        <v>6828057</v>
      </c>
      <c r="D64" s="124">
        <v>438623</v>
      </c>
      <c r="E64" s="108">
        <v>921937</v>
      </c>
      <c r="F64" s="118">
        <f t="shared" si="2"/>
        <v>8188617</v>
      </c>
      <c r="G64" s="115">
        <f>(F64/B64)</f>
        <v>26586.41883116883</v>
      </c>
      <c r="H64" s="76"/>
      <c r="I64" s="76"/>
    </row>
    <row r="65" spans="1:14" s="125" customFormat="1">
      <c r="A65" s="114" t="s">
        <v>79</v>
      </c>
      <c r="B65" s="115">
        <v>302</v>
      </c>
      <c r="C65" s="108">
        <v>6748705</v>
      </c>
      <c r="D65" s="124">
        <v>382562</v>
      </c>
      <c r="E65" s="108">
        <v>899630</v>
      </c>
      <c r="F65" s="118">
        <f>SUM(C65:E65)</f>
        <v>8030897</v>
      </c>
      <c r="G65" s="115">
        <f>F65/B65</f>
        <v>26592.374172185431</v>
      </c>
      <c r="H65" s="76"/>
      <c r="I65" s="76"/>
    </row>
    <row r="66" spans="1:14" s="125" customFormat="1">
      <c r="A66" s="114" t="s">
        <v>80</v>
      </c>
      <c r="B66" s="126">
        <v>271</v>
      </c>
      <c r="C66" s="108">
        <v>7057967</v>
      </c>
      <c r="D66" s="108">
        <v>396898</v>
      </c>
      <c r="E66" s="108">
        <v>860295</v>
      </c>
      <c r="F66" s="118">
        <f>SUM(C66:E66)</f>
        <v>8315160</v>
      </c>
      <c r="G66" s="126">
        <f>F66/B66</f>
        <v>30683.247232472324</v>
      </c>
      <c r="H66" s="76"/>
      <c r="I66" s="76"/>
      <c r="J66" s="127"/>
      <c r="K66" s="127"/>
      <c r="L66" s="127"/>
    </row>
    <row r="67" spans="1:14">
      <c r="A67" s="114" t="s">
        <v>81</v>
      </c>
      <c r="B67" s="115">
        <v>261</v>
      </c>
      <c r="C67" s="108">
        <v>7143782</v>
      </c>
      <c r="D67" s="108">
        <v>444158</v>
      </c>
      <c r="E67" s="108">
        <v>856695</v>
      </c>
      <c r="F67" s="118">
        <f>SUM(C67:E67)</f>
        <v>8444635</v>
      </c>
      <c r="G67" s="126">
        <f>F67/B67</f>
        <v>32354.92337164751</v>
      </c>
      <c r="J67" s="127"/>
      <c r="K67" s="127"/>
      <c r="L67" s="127"/>
    </row>
    <row r="68" spans="1:14">
      <c r="A68" s="114" t="s">
        <v>82</v>
      </c>
      <c r="B68" s="115">
        <v>252</v>
      </c>
      <c r="C68" s="108">
        <v>6961992</v>
      </c>
      <c r="D68" s="108">
        <v>405688</v>
      </c>
      <c r="E68" s="108">
        <v>844098</v>
      </c>
      <c r="F68" s="118">
        <f>SUM(C68:E68)</f>
        <v>8211778</v>
      </c>
      <c r="G68" s="126">
        <f>F68/B68</f>
        <v>32586.420634920636</v>
      </c>
      <c r="J68" s="127"/>
      <c r="K68" s="127"/>
      <c r="L68" s="127"/>
    </row>
    <row r="69" spans="1:14" ht="14.25">
      <c r="A69" s="128" t="s">
        <v>104</v>
      </c>
      <c r="B69" s="129">
        <v>218</v>
      </c>
      <c r="C69" s="130">
        <v>7226992</v>
      </c>
      <c r="D69" s="130">
        <v>415469</v>
      </c>
      <c r="E69" s="130">
        <v>805483</v>
      </c>
      <c r="F69" s="131">
        <f>SUM(C69:E69)</f>
        <v>8447944</v>
      </c>
      <c r="G69" s="132">
        <f>F69/B69</f>
        <v>38752.036697247706</v>
      </c>
      <c r="J69" s="127"/>
      <c r="K69" s="127"/>
      <c r="L69" s="127"/>
      <c r="N69" s="133"/>
    </row>
    <row r="70" spans="1:14" s="125" customFormat="1">
      <c r="A70" s="134"/>
      <c r="B70" s="108"/>
      <c r="C70" s="135"/>
      <c r="D70" s="135"/>
      <c r="E70" s="135"/>
      <c r="F70" s="108"/>
      <c r="G70" s="108"/>
      <c r="H70" s="76"/>
      <c r="I70" s="76"/>
      <c r="J70" s="127"/>
      <c r="K70" s="127"/>
      <c r="L70" s="127"/>
    </row>
    <row r="71" spans="1:14" s="125" customFormat="1">
      <c r="A71" s="136" t="s">
        <v>83</v>
      </c>
      <c r="B71" s="108"/>
      <c r="C71" s="108"/>
      <c r="D71" s="108"/>
      <c r="E71" s="108"/>
      <c r="F71" s="108"/>
      <c r="G71" s="108"/>
      <c r="H71" s="76"/>
      <c r="I71" s="76"/>
    </row>
    <row r="72" spans="1:14" s="125" customFormat="1">
      <c r="A72" s="134"/>
      <c r="B72" s="108"/>
      <c r="C72" s="108"/>
      <c r="D72" s="108"/>
      <c r="E72" s="108"/>
      <c r="F72" s="108"/>
      <c r="G72" s="108"/>
      <c r="H72" s="76"/>
      <c r="I72" s="76"/>
    </row>
    <row r="73" spans="1:14" s="125" customFormat="1" ht="15.75">
      <c r="A73" s="75" t="s">
        <v>84</v>
      </c>
      <c r="B73" s="137"/>
      <c r="C73" s="101"/>
      <c r="D73" s="138"/>
      <c r="E73" s="108"/>
      <c r="F73" s="108"/>
      <c r="G73" s="108"/>
      <c r="H73" s="76"/>
      <c r="I73" s="76"/>
    </row>
    <row r="74" spans="1:14" s="125" customFormat="1" ht="15.75">
      <c r="A74" s="77" t="s">
        <v>85</v>
      </c>
      <c r="B74" s="137"/>
      <c r="C74" s="101"/>
      <c r="D74" s="138"/>
      <c r="E74" s="108"/>
      <c r="F74" s="108"/>
      <c r="G74" s="108"/>
      <c r="H74" s="76"/>
      <c r="I74" s="76"/>
      <c r="J74" s="139"/>
    </row>
    <row r="75" spans="1:14">
      <c r="A75" s="79"/>
      <c r="B75" s="140" t="s">
        <v>40</v>
      </c>
      <c r="C75" s="141" t="s">
        <v>41</v>
      </c>
      <c r="D75" s="141"/>
      <c r="E75" s="142"/>
      <c r="F75" s="140" t="s">
        <v>42</v>
      </c>
      <c r="G75" s="143"/>
    </row>
    <row r="76" spans="1:14" ht="14.25">
      <c r="A76" s="83" t="s">
        <v>105</v>
      </c>
      <c r="B76" s="144" t="s">
        <v>43</v>
      </c>
      <c r="C76" s="145" t="s">
        <v>9</v>
      </c>
      <c r="D76" s="146" t="s">
        <v>10</v>
      </c>
      <c r="E76" s="145" t="s">
        <v>86</v>
      </c>
      <c r="F76" s="144" t="s">
        <v>45</v>
      </c>
      <c r="G76" s="143"/>
    </row>
    <row r="77" spans="1:14" ht="11.25" customHeight="1">
      <c r="A77" s="87"/>
      <c r="B77" s="147"/>
      <c r="C77" s="148"/>
      <c r="D77" s="149"/>
      <c r="E77" s="148"/>
      <c r="F77" s="147" t="s">
        <v>46</v>
      </c>
      <c r="G77" s="143"/>
    </row>
    <row r="78" spans="1:14" ht="11.25" customHeight="1">
      <c r="A78" s="150"/>
      <c r="B78" s="101"/>
      <c r="C78" s="151"/>
      <c r="D78" s="152" t="s">
        <v>87</v>
      </c>
      <c r="E78" s="153"/>
      <c r="F78" s="154"/>
      <c r="G78" s="143"/>
    </row>
    <row r="79" spans="1:14" ht="11.25" customHeight="1">
      <c r="A79" s="155" t="s">
        <v>71</v>
      </c>
      <c r="B79" s="156">
        <v>44</v>
      </c>
      <c r="C79" s="157">
        <v>1838415</v>
      </c>
      <c r="D79" s="157">
        <v>211599</v>
      </c>
      <c r="E79" s="157">
        <f t="shared" ref="E79:E89" si="3">SUM(C79:D79)</f>
        <v>2050014</v>
      </c>
      <c r="F79" s="158">
        <f t="shared" ref="F79:F89" si="4">E79/B79</f>
        <v>46591.227272727272</v>
      </c>
      <c r="G79" s="143"/>
    </row>
    <row r="80" spans="1:14" s="160" customFormat="1" ht="14.25">
      <c r="A80" s="114" t="s">
        <v>103</v>
      </c>
      <c r="B80" s="159">
        <v>36</v>
      </c>
      <c r="C80" s="101">
        <v>1726980</v>
      </c>
      <c r="D80" s="101">
        <v>213309</v>
      </c>
      <c r="E80" s="101">
        <f t="shared" si="3"/>
        <v>1940289</v>
      </c>
      <c r="F80" s="115">
        <f t="shared" si="4"/>
        <v>53896.916666666664</v>
      </c>
      <c r="H80" s="161"/>
      <c r="I80" s="162"/>
      <c r="J80" s="76"/>
      <c r="K80" s="162"/>
    </row>
    <row r="81" spans="1:16" s="160" customFormat="1" ht="11.25" hidden="1" customHeight="1">
      <c r="A81" s="114" t="s">
        <v>72</v>
      </c>
      <c r="B81" s="159"/>
      <c r="C81" s="101">
        <v>1726980</v>
      </c>
      <c r="D81" s="101">
        <v>213309</v>
      </c>
      <c r="E81" s="101">
        <f t="shared" si="3"/>
        <v>1940289</v>
      </c>
      <c r="F81" s="115" t="e">
        <f t="shared" si="4"/>
        <v>#DIV/0!</v>
      </c>
      <c r="H81" s="161"/>
      <c r="I81" s="162"/>
      <c r="J81" s="76"/>
      <c r="K81" s="162"/>
    </row>
    <row r="82" spans="1:16" s="160" customFormat="1" ht="11.25" hidden="1" customHeight="1">
      <c r="A82" s="114" t="s">
        <v>73</v>
      </c>
      <c r="B82" s="159">
        <v>34</v>
      </c>
      <c r="C82" s="101">
        <v>1742180</v>
      </c>
      <c r="D82" s="101">
        <v>205904</v>
      </c>
      <c r="E82" s="101">
        <f t="shared" si="3"/>
        <v>1948084</v>
      </c>
      <c r="F82" s="115">
        <f t="shared" si="4"/>
        <v>57296.588235294119</v>
      </c>
      <c r="H82" s="161"/>
      <c r="I82" s="162"/>
      <c r="J82" s="76"/>
      <c r="K82" s="162"/>
    </row>
    <row r="83" spans="1:16" s="160" customFormat="1" ht="11.25" hidden="1" customHeight="1">
      <c r="A83" s="114" t="s">
        <v>74</v>
      </c>
      <c r="B83" s="159">
        <v>33</v>
      </c>
      <c r="C83" s="101">
        <v>1680287</v>
      </c>
      <c r="D83" s="101">
        <v>207785</v>
      </c>
      <c r="E83" s="101">
        <f t="shared" si="3"/>
        <v>1888072</v>
      </c>
      <c r="F83" s="115">
        <f t="shared" si="4"/>
        <v>57214.303030303032</v>
      </c>
      <c r="H83" s="161"/>
      <c r="I83" s="162"/>
      <c r="J83" s="76"/>
      <c r="K83" s="162"/>
    </row>
    <row r="84" spans="1:16" s="160" customFormat="1" ht="11.25" hidden="1" customHeight="1">
      <c r="A84" s="114" t="s">
        <v>75</v>
      </c>
      <c r="B84" s="159">
        <v>31</v>
      </c>
      <c r="C84" s="101">
        <v>1665304</v>
      </c>
      <c r="D84" s="101">
        <v>196929</v>
      </c>
      <c r="E84" s="101">
        <f t="shared" si="3"/>
        <v>1862233</v>
      </c>
      <c r="F84" s="115">
        <f t="shared" si="4"/>
        <v>60072.032258064515</v>
      </c>
      <c r="H84" s="161"/>
      <c r="I84" s="162"/>
      <c r="J84" s="76"/>
      <c r="K84" s="162"/>
    </row>
    <row r="85" spans="1:16" s="160" customFormat="1" ht="11.25" customHeight="1">
      <c r="A85" s="114" t="s">
        <v>76</v>
      </c>
      <c r="B85" s="159">
        <v>26</v>
      </c>
      <c r="C85" s="101">
        <v>1721852</v>
      </c>
      <c r="D85" s="101">
        <v>191225</v>
      </c>
      <c r="E85" s="101">
        <f t="shared" si="3"/>
        <v>1913077</v>
      </c>
      <c r="F85" s="115">
        <f t="shared" si="4"/>
        <v>73579.88461538461</v>
      </c>
      <c r="H85" s="161"/>
      <c r="I85" s="162"/>
      <c r="J85" s="76"/>
      <c r="K85" s="162"/>
    </row>
    <row r="86" spans="1:16">
      <c r="A86" s="114" t="s">
        <v>77</v>
      </c>
      <c r="B86" s="159">
        <v>29</v>
      </c>
      <c r="C86" s="101">
        <v>1603072</v>
      </c>
      <c r="D86" s="101">
        <v>202014</v>
      </c>
      <c r="E86" s="101">
        <f t="shared" si="3"/>
        <v>1805086</v>
      </c>
      <c r="F86" s="115">
        <f t="shared" si="4"/>
        <v>62244.34482758621</v>
      </c>
      <c r="H86" s="161"/>
      <c r="I86" s="163"/>
      <c r="K86" s="162"/>
    </row>
    <row r="87" spans="1:16">
      <c r="A87" s="114" t="s">
        <v>78</v>
      </c>
      <c r="B87" s="159">
        <v>27</v>
      </c>
      <c r="C87" s="101">
        <v>1638769</v>
      </c>
      <c r="D87" s="101">
        <v>215226</v>
      </c>
      <c r="E87" s="101">
        <f t="shared" si="3"/>
        <v>1853995</v>
      </c>
      <c r="F87" s="115">
        <f t="shared" si="4"/>
        <v>68666.481481481474</v>
      </c>
      <c r="H87" s="161"/>
      <c r="I87" s="163"/>
      <c r="K87" s="162"/>
    </row>
    <row r="88" spans="1:16">
      <c r="A88" s="114" t="s">
        <v>79</v>
      </c>
      <c r="B88" s="159">
        <v>27</v>
      </c>
      <c r="C88" s="101">
        <v>1510236</v>
      </c>
      <c r="D88" s="101">
        <v>215282</v>
      </c>
      <c r="E88" s="101">
        <f t="shared" si="3"/>
        <v>1725518</v>
      </c>
      <c r="F88" s="115">
        <f t="shared" si="4"/>
        <v>63908.074074074073</v>
      </c>
      <c r="H88" s="161"/>
      <c r="I88" s="163"/>
      <c r="K88" s="162"/>
    </row>
    <row r="89" spans="1:16">
      <c r="A89" s="114" t="s">
        <v>80</v>
      </c>
      <c r="B89" s="159">
        <v>24</v>
      </c>
      <c r="C89" s="164">
        <v>1533532</v>
      </c>
      <c r="D89" s="164">
        <v>185123</v>
      </c>
      <c r="E89" s="101">
        <f t="shared" si="3"/>
        <v>1718655</v>
      </c>
      <c r="F89" s="115">
        <f t="shared" si="4"/>
        <v>71610.625</v>
      </c>
      <c r="H89" s="161"/>
      <c r="I89" s="163"/>
      <c r="K89" s="162"/>
    </row>
    <row r="90" spans="1:16" ht="12.75" customHeight="1">
      <c r="A90" s="114" t="s">
        <v>81</v>
      </c>
      <c r="B90" s="165">
        <v>23</v>
      </c>
      <c r="C90" s="164">
        <v>1559047</v>
      </c>
      <c r="D90" s="164">
        <f>186825-26</f>
        <v>186799</v>
      </c>
      <c r="E90" s="101">
        <f>SUM(C90:D90)</f>
        <v>1745846</v>
      </c>
      <c r="F90" s="115">
        <f>E90/B90</f>
        <v>75906.34782608696</v>
      </c>
      <c r="H90" s="161"/>
      <c r="I90" s="163"/>
      <c r="K90" s="162"/>
      <c r="N90" s="133"/>
      <c r="P90" s="133"/>
    </row>
    <row r="91" spans="1:16" ht="12.75" customHeight="1">
      <c r="A91" s="114" t="s">
        <v>82</v>
      </c>
      <c r="B91" s="165">
        <v>24</v>
      </c>
      <c r="C91" s="164">
        <v>1458623</v>
      </c>
      <c r="D91" s="164">
        <v>192259</v>
      </c>
      <c r="E91" s="101">
        <v>1650882</v>
      </c>
      <c r="F91" s="115">
        <v>68786.75</v>
      </c>
      <c r="H91" s="161"/>
      <c r="I91" s="163"/>
      <c r="K91" s="162"/>
      <c r="N91" s="133"/>
      <c r="P91" s="133"/>
    </row>
    <row r="92" spans="1:16" ht="15">
      <c r="A92" s="128" t="s">
        <v>104</v>
      </c>
      <c r="B92" s="166">
        <v>24</v>
      </c>
      <c r="C92" s="167">
        <v>1606021</v>
      </c>
      <c r="D92" s="167">
        <v>188078</v>
      </c>
      <c r="E92" s="168">
        <f>SUM(C92:D92)</f>
        <v>1794099</v>
      </c>
      <c r="F92" s="129">
        <f>E92/B92</f>
        <v>74754.125</v>
      </c>
      <c r="H92" s="161"/>
      <c r="I92" s="163"/>
      <c r="K92" s="162"/>
      <c r="N92" s="133"/>
      <c r="P92" s="133"/>
    </row>
    <row r="93" spans="1:16">
      <c r="A93" s="150"/>
      <c r="B93" s="101"/>
      <c r="C93" s="151"/>
      <c r="D93" s="152" t="s">
        <v>88</v>
      </c>
      <c r="E93" s="153"/>
      <c r="F93" s="154"/>
      <c r="H93" s="161"/>
      <c r="I93" s="169"/>
    </row>
    <row r="94" spans="1:16">
      <c r="A94" s="155" t="s">
        <v>71</v>
      </c>
      <c r="B94" s="156">
        <v>95</v>
      </c>
      <c r="C94" s="157">
        <v>1876588</v>
      </c>
      <c r="D94" s="157">
        <v>310875</v>
      </c>
      <c r="E94" s="157">
        <f t="shared" ref="E94:E104" si="5">SUM(C94:D94)</f>
        <v>2187463</v>
      </c>
      <c r="F94" s="158">
        <f t="shared" ref="F94:F104" si="6">E94/B94</f>
        <v>23025.926315789475</v>
      </c>
      <c r="H94" s="161"/>
      <c r="I94" s="169"/>
    </row>
    <row r="95" spans="1:16" ht="14.25">
      <c r="A95" s="114" t="s">
        <v>103</v>
      </c>
      <c r="B95" s="159">
        <v>80</v>
      </c>
      <c r="C95" s="101">
        <v>1801138</v>
      </c>
      <c r="D95" s="101">
        <v>292566</v>
      </c>
      <c r="E95" s="101">
        <f t="shared" si="5"/>
        <v>2093704</v>
      </c>
      <c r="F95" s="115">
        <f t="shared" si="6"/>
        <v>26171.3</v>
      </c>
      <c r="H95" s="161"/>
      <c r="I95" s="163"/>
      <c r="K95" s="162"/>
    </row>
    <row r="96" spans="1:16" hidden="1">
      <c r="A96" s="114" t="s">
        <v>72</v>
      </c>
      <c r="B96" s="159"/>
      <c r="C96" s="101">
        <v>1938651</v>
      </c>
      <c r="D96" s="101">
        <v>302691</v>
      </c>
      <c r="E96" s="101">
        <f t="shared" si="5"/>
        <v>2241342</v>
      </c>
      <c r="F96" s="115" t="e">
        <f t="shared" si="6"/>
        <v>#DIV/0!</v>
      </c>
      <c r="H96" s="161"/>
      <c r="I96" s="163"/>
      <c r="K96" s="162"/>
    </row>
    <row r="97" spans="1:16" hidden="1">
      <c r="A97" s="114" t="s">
        <v>73</v>
      </c>
      <c r="B97" s="159">
        <v>77</v>
      </c>
      <c r="C97" s="101">
        <v>1938651</v>
      </c>
      <c r="D97" s="101">
        <v>302691</v>
      </c>
      <c r="E97" s="101">
        <f t="shared" si="5"/>
        <v>2241342</v>
      </c>
      <c r="F97" s="115">
        <f t="shared" si="6"/>
        <v>29108.337662337661</v>
      </c>
      <c r="H97" s="161"/>
      <c r="I97" s="163"/>
      <c r="K97" s="162"/>
    </row>
    <row r="98" spans="1:16" hidden="1">
      <c r="A98" s="114" t="s">
        <v>74</v>
      </c>
      <c r="B98" s="159">
        <v>74</v>
      </c>
      <c r="C98" s="101">
        <v>1899461</v>
      </c>
      <c r="D98" s="101">
        <v>297627</v>
      </c>
      <c r="E98" s="101">
        <f t="shared" si="5"/>
        <v>2197088</v>
      </c>
      <c r="F98" s="115">
        <f t="shared" si="6"/>
        <v>29690.37837837838</v>
      </c>
      <c r="H98" s="161"/>
      <c r="I98" s="163"/>
      <c r="K98" s="162"/>
    </row>
    <row r="99" spans="1:16" hidden="1">
      <c r="A99" s="114" t="s">
        <v>75</v>
      </c>
      <c r="B99" s="159">
        <v>73</v>
      </c>
      <c r="C99" s="101">
        <v>1999007</v>
      </c>
      <c r="D99" s="101">
        <v>297864</v>
      </c>
      <c r="E99" s="101">
        <f t="shared" si="5"/>
        <v>2296871</v>
      </c>
      <c r="F99" s="115">
        <f t="shared" si="6"/>
        <v>31463.986301369863</v>
      </c>
      <c r="H99" s="161"/>
      <c r="I99" s="163"/>
      <c r="K99" s="162"/>
    </row>
    <row r="100" spans="1:16">
      <c r="A100" s="114" t="s">
        <v>76</v>
      </c>
      <c r="B100" s="159">
        <v>69</v>
      </c>
      <c r="C100" s="101">
        <v>2106882</v>
      </c>
      <c r="D100" s="101">
        <v>299905</v>
      </c>
      <c r="E100" s="101">
        <f t="shared" si="5"/>
        <v>2406787</v>
      </c>
      <c r="F100" s="115">
        <f t="shared" si="6"/>
        <v>34880.971014492752</v>
      </c>
      <c r="H100" s="161"/>
      <c r="I100" s="163"/>
      <c r="K100" s="162"/>
    </row>
    <row r="101" spans="1:16">
      <c r="A101" s="114" t="s">
        <v>77</v>
      </c>
      <c r="B101" s="159">
        <v>66</v>
      </c>
      <c r="C101" s="101">
        <v>2003851</v>
      </c>
      <c r="D101" s="101">
        <v>286696</v>
      </c>
      <c r="E101" s="101">
        <f t="shared" si="5"/>
        <v>2290547</v>
      </c>
      <c r="F101" s="115">
        <f t="shared" si="6"/>
        <v>34705.257575757576</v>
      </c>
      <c r="H101" s="161"/>
      <c r="I101" s="163"/>
      <c r="K101" s="162"/>
    </row>
    <row r="102" spans="1:16">
      <c r="A102" s="114" t="s">
        <v>78</v>
      </c>
      <c r="B102" s="159">
        <v>65</v>
      </c>
      <c r="C102" s="101">
        <v>2024821</v>
      </c>
      <c r="D102" s="101">
        <v>295406</v>
      </c>
      <c r="E102" s="101">
        <f t="shared" si="5"/>
        <v>2320227</v>
      </c>
      <c r="F102" s="115">
        <f t="shared" si="6"/>
        <v>35695.800000000003</v>
      </c>
      <c r="H102" s="161"/>
      <c r="I102" s="163"/>
      <c r="K102" s="162"/>
    </row>
    <row r="103" spans="1:16">
      <c r="A103" s="114" t="s">
        <v>79</v>
      </c>
      <c r="B103" s="159">
        <v>63</v>
      </c>
      <c r="C103" s="101">
        <v>2066821</v>
      </c>
      <c r="D103" s="101">
        <v>272628</v>
      </c>
      <c r="E103" s="101">
        <f t="shared" si="5"/>
        <v>2339449</v>
      </c>
      <c r="F103" s="115">
        <f t="shared" si="6"/>
        <v>37134.111111111109</v>
      </c>
      <c r="H103" s="161"/>
      <c r="I103" s="163"/>
      <c r="K103" s="162"/>
    </row>
    <row r="104" spans="1:16">
      <c r="A104" s="114" t="s">
        <v>80</v>
      </c>
      <c r="B104" s="159">
        <v>56</v>
      </c>
      <c r="C104" s="164">
        <v>2178988</v>
      </c>
      <c r="D104" s="164">
        <v>277951</v>
      </c>
      <c r="E104" s="170">
        <f t="shared" si="5"/>
        <v>2456939</v>
      </c>
      <c r="F104" s="120">
        <f t="shared" si="6"/>
        <v>43873.910714285717</v>
      </c>
      <c r="H104" s="161"/>
      <c r="I104" s="163"/>
      <c r="K104" s="162"/>
    </row>
    <row r="105" spans="1:16">
      <c r="A105" s="114" t="s">
        <v>81</v>
      </c>
      <c r="B105" s="159">
        <v>54</v>
      </c>
      <c r="C105" s="164">
        <v>2243498</v>
      </c>
      <c r="D105" s="164">
        <f>284803-350-208</f>
        <v>284245</v>
      </c>
      <c r="E105" s="101">
        <f>SUM(C105:D105)</f>
        <v>2527743</v>
      </c>
      <c r="F105" s="115">
        <f>E105/B105</f>
        <v>46810.055555555555</v>
      </c>
      <c r="H105" s="161"/>
      <c r="I105" s="163"/>
      <c r="K105" s="162"/>
      <c r="N105" s="133"/>
      <c r="P105" s="133"/>
    </row>
    <row r="106" spans="1:16">
      <c r="A106" s="114" t="s">
        <v>82</v>
      </c>
      <c r="B106" s="159">
        <v>53</v>
      </c>
      <c r="C106" s="164">
        <v>2219617</v>
      </c>
      <c r="D106" s="164">
        <v>286151</v>
      </c>
      <c r="E106" s="101">
        <v>2505768</v>
      </c>
      <c r="F106" s="115">
        <v>47278.641509433961</v>
      </c>
      <c r="H106" s="161"/>
      <c r="I106" s="163"/>
      <c r="K106" s="162"/>
      <c r="N106" s="133"/>
      <c r="P106" s="133"/>
    </row>
    <row r="107" spans="1:16" ht="15">
      <c r="A107" s="128" t="s">
        <v>104</v>
      </c>
      <c r="B107" s="166">
        <v>49</v>
      </c>
      <c r="C107" s="167">
        <v>2306060</v>
      </c>
      <c r="D107" s="167">
        <v>249760</v>
      </c>
      <c r="E107" s="168">
        <f>SUM(C107:D107)</f>
        <v>2555820</v>
      </c>
      <c r="F107" s="129">
        <f>E107/B107</f>
        <v>52159.591836734697</v>
      </c>
      <c r="H107" s="161"/>
      <c r="I107" s="163"/>
      <c r="K107" s="162"/>
      <c r="N107" s="133"/>
      <c r="P107" s="133"/>
    </row>
    <row r="108" spans="1:16">
      <c r="A108" s="150"/>
      <c r="B108" s="101"/>
      <c r="C108" s="151"/>
      <c r="D108" s="152" t="s">
        <v>89</v>
      </c>
      <c r="E108" s="153"/>
      <c r="F108" s="154"/>
      <c r="H108" s="161"/>
      <c r="I108" s="169"/>
    </row>
    <row r="109" spans="1:16">
      <c r="A109" s="155" t="s">
        <v>71</v>
      </c>
      <c r="B109" s="156">
        <v>230</v>
      </c>
      <c r="C109" s="157">
        <v>1633872</v>
      </c>
      <c r="D109" s="157">
        <v>216943</v>
      </c>
      <c r="E109" s="171">
        <f t="shared" ref="E109:E119" si="7">SUM(C109:D109)</f>
        <v>1850815</v>
      </c>
      <c r="F109" s="172">
        <f t="shared" ref="F109:F119" si="8">E109/B109</f>
        <v>8047.021739130435</v>
      </c>
      <c r="H109" s="161"/>
      <c r="I109" s="169"/>
    </row>
    <row r="110" spans="1:16" ht="14.25">
      <c r="A110" s="114" t="s">
        <v>103</v>
      </c>
      <c r="B110" s="159">
        <v>174</v>
      </c>
      <c r="C110" s="101">
        <v>1637165</v>
      </c>
      <c r="D110" s="101">
        <v>219012</v>
      </c>
      <c r="E110" s="170">
        <f t="shared" si="7"/>
        <v>1856177</v>
      </c>
      <c r="F110" s="120">
        <f t="shared" si="8"/>
        <v>10667.683908045978</v>
      </c>
      <c r="H110" s="161"/>
      <c r="I110" s="163"/>
      <c r="K110" s="162"/>
    </row>
    <row r="111" spans="1:16" hidden="1">
      <c r="A111" s="114" t="s">
        <v>72</v>
      </c>
      <c r="B111" s="159"/>
      <c r="C111" s="101">
        <v>1750850</v>
      </c>
      <c r="D111" s="101">
        <v>223253</v>
      </c>
      <c r="E111" s="170">
        <f t="shared" si="7"/>
        <v>1974103</v>
      </c>
      <c r="F111" s="120" t="e">
        <f t="shared" si="8"/>
        <v>#DIV/0!</v>
      </c>
      <c r="H111" s="161"/>
      <c r="I111" s="163"/>
      <c r="K111" s="162"/>
    </row>
    <row r="112" spans="1:16" hidden="1">
      <c r="A112" s="114" t="s">
        <v>73</v>
      </c>
      <c r="B112" s="159">
        <v>171</v>
      </c>
      <c r="C112" s="101">
        <v>1750850</v>
      </c>
      <c r="D112" s="101">
        <v>223253</v>
      </c>
      <c r="E112" s="170">
        <f t="shared" si="7"/>
        <v>1974103</v>
      </c>
      <c r="F112" s="120">
        <f t="shared" si="8"/>
        <v>11544.461988304094</v>
      </c>
      <c r="H112" s="161"/>
      <c r="I112" s="163"/>
      <c r="K112" s="162"/>
    </row>
    <row r="113" spans="1:16" hidden="1">
      <c r="A113" s="114" t="s">
        <v>74</v>
      </c>
      <c r="B113" s="159">
        <v>166</v>
      </c>
      <c r="C113" s="101">
        <v>1705548</v>
      </c>
      <c r="D113" s="101">
        <v>209851</v>
      </c>
      <c r="E113" s="170">
        <f t="shared" si="7"/>
        <v>1915399</v>
      </c>
      <c r="F113" s="120">
        <f t="shared" si="8"/>
        <v>11538.548192771084</v>
      </c>
      <c r="H113" s="161"/>
      <c r="I113" s="163"/>
      <c r="K113" s="162"/>
    </row>
    <row r="114" spans="1:16" hidden="1">
      <c r="A114" s="114" t="s">
        <v>75</v>
      </c>
      <c r="B114" s="159">
        <v>168</v>
      </c>
      <c r="C114" s="101">
        <v>1698206</v>
      </c>
      <c r="D114" s="101">
        <v>204318</v>
      </c>
      <c r="E114" s="170">
        <f t="shared" si="7"/>
        <v>1902524</v>
      </c>
      <c r="F114" s="120">
        <f t="shared" si="8"/>
        <v>11324.547619047618</v>
      </c>
      <c r="H114" s="161"/>
      <c r="I114" s="163"/>
      <c r="K114" s="162"/>
    </row>
    <row r="115" spans="1:16">
      <c r="A115" s="114" t="s">
        <v>76</v>
      </c>
      <c r="B115" s="159">
        <v>164</v>
      </c>
      <c r="C115" s="101">
        <v>1800255</v>
      </c>
      <c r="D115" s="101">
        <v>216793</v>
      </c>
      <c r="E115" s="170">
        <f t="shared" si="7"/>
        <v>2017048</v>
      </c>
      <c r="F115" s="120">
        <f t="shared" si="8"/>
        <v>12299.073170731708</v>
      </c>
      <c r="H115" s="161"/>
      <c r="I115" s="163"/>
      <c r="K115" s="162"/>
    </row>
    <row r="116" spans="1:16">
      <c r="A116" s="114" t="s">
        <v>77</v>
      </c>
      <c r="B116" s="159">
        <v>162</v>
      </c>
      <c r="C116" s="101">
        <v>1755331</v>
      </c>
      <c r="D116" s="101">
        <v>211384</v>
      </c>
      <c r="E116" s="170">
        <f t="shared" si="7"/>
        <v>1966715</v>
      </c>
      <c r="F116" s="120">
        <f t="shared" si="8"/>
        <v>12140.216049382716</v>
      </c>
      <c r="H116" s="161"/>
      <c r="I116" s="163"/>
      <c r="K116" s="162"/>
    </row>
    <row r="117" spans="1:16">
      <c r="A117" s="114" t="s">
        <v>78</v>
      </c>
      <c r="B117" s="159">
        <v>158</v>
      </c>
      <c r="C117" s="101">
        <v>1817785</v>
      </c>
      <c r="D117" s="101">
        <v>221673</v>
      </c>
      <c r="E117" s="170">
        <f t="shared" si="7"/>
        <v>2039458</v>
      </c>
      <c r="F117" s="120">
        <f t="shared" si="8"/>
        <v>12907.962025316456</v>
      </c>
      <c r="H117" s="161"/>
      <c r="I117" s="163"/>
      <c r="K117" s="162"/>
    </row>
    <row r="118" spans="1:16">
      <c r="A118" s="114" t="s">
        <v>79</v>
      </c>
      <c r="B118" s="159">
        <v>157</v>
      </c>
      <c r="C118" s="101">
        <v>1859539</v>
      </c>
      <c r="D118" s="101">
        <v>226797</v>
      </c>
      <c r="E118" s="170">
        <f t="shared" si="7"/>
        <v>2086336</v>
      </c>
      <c r="F118" s="120">
        <f t="shared" si="8"/>
        <v>13288.764331210192</v>
      </c>
      <c r="H118" s="161"/>
      <c r="I118" s="163"/>
      <c r="K118" s="162"/>
    </row>
    <row r="119" spans="1:16">
      <c r="A119" s="114" t="s">
        <v>80</v>
      </c>
      <c r="B119" s="159">
        <v>145</v>
      </c>
      <c r="C119" s="164">
        <v>1951835</v>
      </c>
      <c r="D119" s="164">
        <v>216402</v>
      </c>
      <c r="E119" s="170">
        <f t="shared" si="7"/>
        <v>2168237</v>
      </c>
      <c r="F119" s="120">
        <f t="shared" si="8"/>
        <v>14953.358620689654</v>
      </c>
      <c r="H119" s="161"/>
      <c r="I119" s="163"/>
      <c r="K119" s="162"/>
    </row>
    <row r="120" spans="1:16">
      <c r="A120" s="114" t="s">
        <v>81</v>
      </c>
      <c r="B120" s="159">
        <v>142</v>
      </c>
      <c r="C120" s="164">
        <f>1950761-2433</f>
        <v>1948328</v>
      </c>
      <c r="D120" s="164">
        <f>210661-957</f>
        <v>209704</v>
      </c>
      <c r="E120" s="170">
        <f>SUM(C120:D120)</f>
        <v>2158032</v>
      </c>
      <c r="F120" s="120">
        <f>E120/B120</f>
        <v>15197.408450704226</v>
      </c>
      <c r="H120" s="161"/>
      <c r="I120" s="163"/>
      <c r="K120" s="162"/>
      <c r="N120" s="133"/>
      <c r="P120" s="133"/>
    </row>
    <row r="121" spans="1:16">
      <c r="A121" s="114" t="s">
        <v>82</v>
      </c>
      <c r="B121" s="159">
        <v>135</v>
      </c>
      <c r="C121" s="164">
        <v>1933384</v>
      </c>
      <c r="D121" s="164">
        <v>207459</v>
      </c>
      <c r="E121" s="170">
        <v>2140843</v>
      </c>
      <c r="F121" s="120">
        <v>15858.096296296297</v>
      </c>
      <c r="H121" s="161"/>
      <c r="I121" s="163"/>
      <c r="K121" s="162"/>
      <c r="N121" s="133"/>
      <c r="P121" s="133"/>
    </row>
    <row r="122" spans="1:16" ht="15">
      <c r="A122" s="128" t="s">
        <v>104</v>
      </c>
      <c r="B122" s="166">
        <v>116</v>
      </c>
      <c r="C122" s="167">
        <v>1896442</v>
      </c>
      <c r="D122" s="167">
        <v>215893</v>
      </c>
      <c r="E122" s="168">
        <f>SUM(C122:D122)</f>
        <v>2112335</v>
      </c>
      <c r="F122" s="129">
        <f>E122/B122</f>
        <v>18209.78448275862</v>
      </c>
      <c r="H122" s="161"/>
      <c r="I122" s="163"/>
      <c r="K122" s="162"/>
      <c r="N122" s="133"/>
      <c r="P122" s="133"/>
    </row>
    <row r="123" spans="1:16">
      <c r="A123" s="150"/>
      <c r="B123" s="101"/>
      <c r="C123" s="151"/>
      <c r="D123" s="152" t="s">
        <v>90</v>
      </c>
      <c r="E123" s="153"/>
      <c r="F123" s="154"/>
      <c r="H123" s="161"/>
      <c r="I123" s="169"/>
    </row>
    <row r="124" spans="1:16">
      <c r="A124" s="155" t="s">
        <v>71</v>
      </c>
      <c r="B124" s="173">
        <v>96</v>
      </c>
      <c r="C124" s="157">
        <v>1150534</v>
      </c>
      <c r="D124" s="157">
        <v>209419</v>
      </c>
      <c r="E124" s="171">
        <f t="shared" ref="E124:E134" si="9">SUM(C124:D124)</f>
        <v>1359953</v>
      </c>
      <c r="F124" s="172">
        <f t="shared" ref="F124:F134" si="10">E124/B124</f>
        <v>14166.177083333334</v>
      </c>
      <c r="H124" s="161"/>
      <c r="I124" s="169"/>
    </row>
    <row r="125" spans="1:16" ht="14.25">
      <c r="A125" s="114" t="s">
        <v>103</v>
      </c>
      <c r="B125" s="100">
        <v>71</v>
      </c>
      <c r="C125" s="101">
        <v>1167311</v>
      </c>
      <c r="D125" s="101">
        <v>210804</v>
      </c>
      <c r="E125" s="170">
        <f t="shared" si="9"/>
        <v>1378115</v>
      </c>
      <c r="F125" s="120">
        <f t="shared" si="10"/>
        <v>19410.070422535213</v>
      </c>
      <c r="H125" s="161"/>
      <c r="I125" s="163"/>
      <c r="K125" s="162"/>
    </row>
    <row r="126" spans="1:16" hidden="1">
      <c r="A126" s="114" t="s">
        <v>72</v>
      </c>
      <c r="B126" s="100"/>
      <c r="C126" s="101">
        <v>1247852</v>
      </c>
      <c r="D126" s="101">
        <v>211269</v>
      </c>
      <c r="E126" s="170">
        <f t="shared" si="9"/>
        <v>1459121</v>
      </c>
      <c r="F126" s="120" t="e">
        <f t="shared" si="10"/>
        <v>#DIV/0!</v>
      </c>
      <c r="H126" s="161"/>
      <c r="I126" s="163"/>
      <c r="K126" s="162"/>
    </row>
    <row r="127" spans="1:16" hidden="1">
      <c r="A127" s="114" t="s">
        <v>73</v>
      </c>
      <c r="B127" s="100">
        <v>65</v>
      </c>
      <c r="C127" s="101">
        <v>1230110</v>
      </c>
      <c r="D127" s="101">
        <v>209354</v>
      </c>
      <c r="E127" s="170">
        <f t="shared" si="9"/>
        <v>1439464</v>
      </c>
      <c r="F127" s="120">
        <f t="shared" si="10"/>
        <v>22145.599999999999</v>
      </c>
      <c r="H127" s="161"/>
      <c r="I127" s="163"/>
      <c r="K127" s="162"/>
    </row>
    <row r="128" spans="1:16" hidden="1">
      <c r="A128" s="114" t="s">
        <v>74</v>
      </c>
      <c r="B128" s="100">
        <v>63</v>
      </c>
      <c r="C128" s="101">
        <v>1239815</v>
      </c>
      <c r="D128" s="101">
        <v>193747</v>
      </c>
      <c r="E128" s="170">
        <f t="shared" si="9"/>
        <v>1433562</v>
      </c>
      <c r="F128" s="120">
        <f t="shared" si="10"/>
        <v>22754.952380952382</v>
      </c>
      <c r="H128" s="161"/>
      <c r="I128" s="163"/>
      <c r="K128" s="162"/>
    </row>
    <row r="129" spans="1:16" hidden="1">
      <c r="A129" s="114" t="s">
        <v>75</v>
      </c>
      <c r="B129" s="100">
        <v>61</v>
      </c>
      <c r="C129" s="101">
        <v>1175651</v>
      </c>
      <c r="D129" s="101">
        <v>195613</v>
      </c>
      <c r="E129" s="170">
        <f t="shared" si="9"/>
        <v>1371264</v>
      </c>
      <c r="F129" s="120">
        <f t="shared" si="10"/>
        <v>22479.737704918032</v>
      </c>
      <c r="H129" s="161"/>
      <c r="I129" s="163"/>
      <c r="K129" s="162"/>
    </row>
    <row r="130" spans="1:16">
      <c r="A130" s="114" t="s">
        <v>76</v>
      </c>
      <c r="B130" s="100">
        <v>59</v>
      </c>
      <c r="C130" s="101">
        <v>1203245</v>
      </c>
      <c r="D130" s="101">
        <v>194266</v>
      </c>
      <c r="E130" s="170">
        <f t="shared" si="9"/>
        <v>1397511</v>
      </c>
      <c r="F130" s="120">
        <f t="shared" si="10"/>
        <v>23686.627118644068</v>
      </c>
      <c r="H130" s="161"/>
      <c r="I130" s="163"/>
      <c r="K130" s="162"/>
    </row>
    <row r="131" spans="1:16">
      <c r="A131" s="114" t="s">
        <v>77</v>
      </c>
      <c r="B131" s="100">
        <v>60</v>
      </c>
      <c r="C131" s="101">
        <v>1304444</v>
      </c>
      <c r="D131" s="101">
        <v>193795</v>
      </c>
      <c r="E131" s="170">
        <f t="shared" si="9"/>
        <v>1498239</v>
      </c>
      <c r="F131" s="120">
        <f t="shared" si="10"/>
        <v>24970.65</v>
      </c>
      <c r="H131" s="161"/>
      <c r="I131" s="163"/>
      <c r="K131" s="162"/>
    </row>
    <row r="132" spans="1:16">
      <c r="A132" s="114" t="s">
        <v>78</v>
      </c>
      <c r="B132" s="100">
        <v>58</v>
      </c>
      <c r="C132" s="101">
        <v>1346682</v>
      </c>
      <c r="D132" s="101">
        <v>189632</v>
      </c>
      <c r="E132" s="170">
        <f t="shared" si="9"/>
        <v>1536314</v>
      </c>
      <c r="F132" s="120">
        <f t="shared" si="10"/>
        <v>26488.172413793105</v>
      </c>
      <c r="H132" s="161"/>
      <c r="I132" s="163"/>
      <c r="K132" s="162"/>
    </row>
    <row r="133" spans="1:16">
      <c r="A133" s="114" t="s">
        <v>79</v>
      </c>
      <c r="B133" s="100">
        <v>55</v>
      </c>
      <c r="C133" s="101">
        <v>1312109</v>
      </c>
      <c r="D133" s="101">
        <v>184923</v>
      </c>
      <c r="E133" s="170">
        <f t="shared" si="9"/>
        <v>1497032</v>
      </c>
      <c r="F133" s="120">
        <f t="shared" si="10"/>
        <v>27218.763636363637</v>
      </c>
      <c r="H133" s="161"/>
      <c r="I133" s="163"/>
      <c r="K133" s="162"/>
    </row>
    <row r="134" spans="1:16">
      <c r="A134" s="114" t="s">
        <v>80</v>
      </c>
      <c r="B134" s="100">
        <v>46</v>
      </c>
      <c r="C134" s="164">
        <v>1393612</v>
      </c>
      <c r="D134" s="164">
        <v>180819</v>
      </c>
      <c r="E134" s="154">
        <f t="shared" si="9"/>
        <v>1574431</v>
      </c>
      <c r="F134" s="120">
        <f t="shared" si="10"/>
        <v>34226.760869565216</v>
      </c>
      <c r="H134" s="161"/>
      <c r="I134" s="163"/>
      <c r="K134" s="162"/>
    </row>
    <row r="135" spans="1:16">
      <c r="A135" s="114" t="s">
        <v>81</v>
      </c>
      <c r="B135" s="100">
        <v>42</v>
      </c>
      <c r="C135" s="164">
        <f>1394163-1254</f>
        <v>1392909</v>
      </c>
      <c r="D135" s="164">
        <f>176741-794</f>
        <v>175947</v>
      </c>
      <c r="E135" s="170">
        <f>SUM(C135:D135)</f>
        <v>1568856</v>
      </c>
      <c r="F135" s="120">
        <f>E135/B135</f>
        <v>37353.714285714283</v>
      </c>
      <c r="H135" s="161"/>
      <c r="I135" s="163"/>
      <c r="K135" s="162"/>
      <c r="N135" s="133"/>
      <c r="P135" s="133"/>
    </row>
    <row r="136" spans="1:16">
      <c r="A136" s="114" t="s">
        <v>82</v>
      </c>
      <c r="B136" s="100">
        <v>40</v>
      </c>
      <c r="C136" s="164">
        <v>1350368</v>
      </c>
      <c r="D136" s="164">
        <v>158450</v>
      </c>
      <c r="E136" s="170">
        <v>1508818</v>
      </c>
      <c r="F136" s="120">
        <v>37720.449999999997</v>
      </c>
      <c r="H136" s="161"/>
      <c r="I136" s="163"/>
      <c r="K136" s="162"/>
      <c r="N136" s="133"/>
      <c r="P136" s="133"/>
    </row>
    <row r="137" spans="1:16" ht="15">
      <c r="A137" s="128" t="s">
        <v>104</v>
      </c>
      <c r="B137" s="166">
        <v>29</v>
      </c>
      <c r="C137" s="167">
        <v>1418469</v>
      </c>
      <c r="D137" s="167">
        <v>151752</v>
      </c>
      <c r="E137" s="168">
        <f>SUM(C137:D137)</f>
        <v>1570221</v>
      </c>
      <c r="F137" s="129">
        <f>E137/B137</f>
        <v>54145.551724137928</v>
      </c>
      <c r="H137" s="161"/>
      <c r="I137" s="163"/>
      <c r="K137" s="162"/>
      <c r="N137" s="133"/>
      <c r="P137" s="133"/>
    </row>
    <row r="138" spans="1:16" ht="5.25" customHeight="1"/>
    <row r="139" spans="1:16">
      <c r="A139" s="174" t="s">
        <v>91</v>
      </c>
    </row>
    <row r="140" spans="1:16">
      <c r="A140" s="174" t="s">
        <v>92</v>
      </c>
    </row>
    <row r="141" spans="1:16">
      <c r="A141" s="174" t="s">
        <v>93</v>
      </c>
    </row>
    <row r="142" spans="1:16">
      <c r="A142" s="174" t="s">
        <v>94</v>
      </c>
    </row>
    <row r="143" spans="1:16">
      <c r="A143" s="174" t="s">
        <v>95</v>
      </c>
    </row>
    <row r="144" spans="1:16">
      <c r="A144" s="174" t="s">
        <v>96</v>
      </c>
    </row>
    <row r="145" spans="1:11">
      <c r="A145" s="175" t="s">
        <v>97</v>
      </c>
    </row>
    <row r="146" spans="1:11">
      <c r="A146" s="175" t="s">
        <v>98</v>
      </c>
      <c r="I146" s="133"/>
      <c r="K146" s="133"/>
    </row>
    <row r="153" spans="1:11">
      <c r="A153" s="176"/>
      <c r="B153" s="176"/>
      <c r="C153" s="176"/>
      <c r="D153" s="176"/>
    </row>
    <row r="154" spans="1:11">
      <c r="C154" s="176"/>
    </row>
    <row r="155" spans="1:11">
      <c r="A155" s="133"/>
      <c r="B155" s="133"/>
      <c r="C155" s="133"/>
    </row>
  </sheetData>
  <pageMargins left="0.78740157480314965" right="0.78740157480314965" top="0.98425196850393704" bottom="0.98425196850393704" header="0.51181102362204722" footer="0.51181102362204722"/>
  <pageSetup paperSize="9" orientation="portrait" horizontalDpi="4294967292" verticalDpi="4294967292" r:id="rId1"/>
  <headerFooter alignWithMargins="0">
    <oddHeader>&amp;LBundesanstalt für Landwirtschaft
und Ernährung
Ref. 423&amp;CStruktur der Mühlenwirtschaft WJ 2012/13</oddHeader>
    <oddFooter>&amp;L&amp;A</oddFooter>
  </headerFooter>
  <rowBreaks count="1" manualBreakCount="1">
    <brk id="72" max="6" man="1"/>
  </rowBreaks>
  <colBreaks count="1" manualBreakCount="1">
    <brk id="7" max="1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showGridLines="0" zoomScaleNormal="100" workbookViewId="0">
      <selection activeCell="A3" sqref="A3:T72"/>
    </sheetView>
  </sheetViews>
  <sheetFormatPr baseColWidth="10" defaultColWidth="9.7109375" defaultRowHeight="12.75"/>
  <cols>
    <col min="1" max="1" width="10.7109375" style="206" customWidth="1"/>
    <col min="2" max="4" width="10.7109375" style="206" hidden="1" customWidth="1"/>
    <col min="5" max="5" width="10.7109375" style="206" customWidth="1"/>
    <col min="6" max="7" width="10.7109375" style="206" hidden="1" customWidth="1"/>
    <col min="8" max="8" width="10.7109375" style="206" customWidth="1"/>
    <col min="9" max="12" width="10.7109375" style="206" hidden="1" customWidth="1"/>
    <col min="13" max="13" width="10.7109375" style="206" customWidth="1"/>
    <col min="14" max="14" width="13" style="206" bestFit="1" customWidth="1"/>
    <col min="15" max="15" width="10.7109375" style="206" customWidth="1"/>
    <col min="16" max="16" width="9.140625" style="206" bestFit="1" customWidth="1"/>
    <col min="17" max="17" width="10.85546875" style="206" customWidth="1"/>
    <col min="18" max="19" width="10.7109375" style="206" hidden="1" customWidth="1"/>
    <col min="20" max="20" width="10.7109375" style="206" customWidth="1"/>
    <col min="21" max="253" width="9.7109375" style="206"/>
    <col min="254" max="254" width="10.7109375" style="206" customWidth="1"/>
    <col min="255" max="257" width="0" style="206" hidden="1" customWidth="1"/>
    <col min="258" max="258" width="10.7109375" style="206" customWidth="1"/>
    <col min="259" max="260" width="0" style="206" hidden="1" customWidth="1"/>
    <col min="261" max="261" width="10.7109375" style="206" customWidth="1"/>
    <col min="262" max="265" width="0" style="206" hidden="1" customWidth="1"/>
    <col min="266" max="266" width="10.7109375" style="206" customWidth="1"/>
    <col min="267" max="267" width="13" style="206" bestFit="1" customWidth="1"/>
    <col min="268" max="268" width="10.7109375" style="206" customWidth="1"/>
    <col min="269" max="269" width="9.140625" style="206" bestFit="1" customWidth="1"/>
    <col min="270" max="270" width="10.85546875" style="206" customWidth="1"/>
    <col min="271" max="272" width="0" style="206" hidden="1" customWidth="1"/>
    <col min="273" max="273" width="10.7109375" style="206" customWidth="1"/>
    <col min="274" max="509" width="9.7109375" style="206"/>
    <col min="510" max="510" width="10.7109375" style="206" customWidth="1"/>
    <col min="511" max="513" width="0" style="206" hidden="1" customWidth="1"/>
    <col min="514" max="514" width="10.7109375" style="206" customWidth="1"/>
    <col min="515" max="516" width="0" style="206" hidden="1" customWidth="1"/>
    <col min="517" max="517" width="10.7109375" style="206" customWidth="1"/>
    <col min="518" max="521" width="0" style="206" hidden="1" customWidth="1"/>
    <col min="522" max="522" width="10.7109375" style="206" customWidth="1"/>
    <col min="523" max="523" width="13" style="206" bestFit="1" customWidth="1"/>
    <col min="524" max="524" width="10.7109375" style="206" customWidth="1"/>
    <col min="525" max="525" width="9.140625" style="206" bestFit="1" customWidth="1"/>
    <col min="526" max="526" width="10.85546875" style="206" customWidth="1"/>
    <col min="527" max="528" width="0" style="206" hidden="1" customWidth="1"/>
    <col min="529" max="529" width="10.7109375" style="206" customWidth="1"/>
    <col min="530" max="765" width="9.7109375" style="206"/>
    <col min="766" max="766" width="10.7109375" style="206" customWidth="1"/>
    <col min="767" max="769" width="0" style="206" hidden="1" customWidth="1"/>
    <col min="770" max="770" width="10.7109375" style="206" customWidth="1"/>
    <col min="771" max="772" width="0" style="206" hidden="1" customWidth="1"/>
    <col min="773" max="773" width="10.7109375" style="206" customWidth="1"/>
    <col min="774" max="777" width="0" style="206" hidden="1" customWidth="1"/>
    <col min="778" max="778" width="10.7109375" style="206" customWidth="1"/>
    <col min="779" max="779" width="13" style="206" bestFit="1" customWidth="1"/>
    <col min="780" max="780" width="10.7109375" style="206" customWidth="1"/>
    <col min="781" max="781" width="9.140625" style="206" bestFit="1" customWidth="1"/>
    <col min="782" max="782" width="10.85546875" style="206" customWidth="1"/>
    <col min="783" max="784" width="0" style="206" hidden="1" customWidth="1"/>
    <col min="785" max="785" width="10.7109375" style="206" customWidth="1"/>
    <col min="786" max="1021" width="9.7109375" style="206"/>
    <col min="1022" max="1022" width="10.7109375" style="206" customWidth="1"/>
    <col min="1023" max="1025" width="0" style="206" hidden="1" customWidth="1"/>
    <col min="1026" max="1026" width="10.7109375" style="206" customWidth="1"/>
    <col min="1027" max="1028" width="0" style="206" hidden="1" customWidth="1"/>
    <col min="1029" max="1029" width="10.7109375" style="206" customWidth="1"/>
    <col min="1030" max="1033" width="0" style="206" hidden="1" customWidth="1"/>
    <col min="1034" max="1034" width="10.7109375" style="206" customWidth="1"/>
    <col min="1035" max="1035" width="13" style="206" bestFit="1" customWidth="1"/>
    <col min="1036" max="1036" width="10.7109375" style="206" customWidth="1"/>
    <col min="1037" max="1037" width="9.140625" style="206" bestFit="1" customWidth="1"/>
    <col min="1038" max="1038" width="10.85546875" style="206" customWidth="1"/>
    <col min="1039" max="1040" width="0" style="206" hidden="1" customWidth="1"/>
    <col min="1041" max="1041" width="10.7109375" style="206" customWidth="1"/>
    <col min="1042" max="1277" width="9.7109375" style="206"/>
    <col min="1278" max="1278" width="10.7109375" style="206" customWidth="1"/>
    <col min="1279" max="1281" width="0" style="206" hidden="1" customWidth="1"/>
    <col min="1282" max="1282" width="10.7109375" style="206" customWidth="1"/>
    <col min="1283" max="1284" width="0" style="206" hidden="1" customWidth="1"/>
    <col min="1285" max="1285" width="10.7109375" style="206" customWidth="1"/>
    <col min="1286" max="1289" width="0" style="206" hidden="1" customWidth="1"/>
    <col min="1290" max="1290" width="10.7109375" style="206" customWidth="1"/>
    <col min="1291" max="1291" width="13" style="206" bestFit="1" customWidth="1"/>
    <col min="1292" max="1292" width="10.7109375" style="206" customWidth="1"/>
    <col min="1293" max="1293" width="9.140625" style="206" bestFit="1" customWidth="1"/>
    <col min="1294" max="1294" width="10.85546875" style="206" customWidth="1"/>
    <col min="1295" max="1296" width="0" style="206" hidden="1" customWidth="1"/>
    <col min="1297" max="1297" width="10.7109375" style="206" customWidth="1"/>
    <col min="1298" max="1533" width="9.7109375" style="206"/>
    <col min="1534" max="1534" width="10.7109375" style="206" customWidth="1"/>
    <col min="1535" max="1537" width="0" style="206" hidden="1" customWidth="1"/>
    <col min="1538" max="1538" width="10.7109375" style="206" customWidth="1"/>
    <col min="1539" max="1540" width="0" style="206" hidden="1" customWidth="1"/>
    <col min="1541" max="1541" width="10.7109375" style="206" customWidth="1"/>
    <col min="1542" max="1545" width="0" style="206" hidden="1" customWidth="1"/>
    <col min="1546" max="1546" width="10.7109375" style="206" customWidth="1"/>
    <col min="1547" max="1547" width="13" style="206" bestFit="1" customWidth="1"/>
    <col min="1548" max="1548" width="10.7109375" style="206" customWidth="1"/>
    <col min="1549" max="1549" width="9.140625" style="206" bestFit="1" customWidth="1"/>
    <col min="1550" max="1550" width="10.85546875" style="206" customWidth="1"/>
    <col min="1551" max="1552" width="0" style="206" hidden="1" customWidth="1"/>
    <col min="1553" max="1553" width="10.7109375" style="206" customWidth="1"/>
    <col min="1554" max="1789" width="9.7109375" style="206"/>
    <col min="1790" max="1790" width="10.7109375" style="206" customWidth="1"/>
    <col min="1791" max="1793" width="0" style="206" hidden="1" customWidth="1"/>
    <col min="1794" max="1794" width="10.7109375" style="206" customWidth="1"/>
    <col min="1795" max="1796" width="0" style="206" hidden="1" customWidth="1"/>
    <col min="1797" max="1797" width="10.7109375" style="206" customWidth="1"/>
    <col min="1798" max="1801" width="0" style="206" hidden="1" customWidth="1"/>
    <col min="1802" max="1802" width="10.7109375" style="206" customWidth="1"/>
    <col min="1803" max="1803" width="13" style="206" bestFit="1" customWidth="1"/>
    <col min="1804" max="1804" width="10.7109375" style="206" customWidth="1"/>
    <col min="1805" max="1805" width="9.140625" style="206" bestFit="1" customWidth="1"/>
    <col min="1806" max="1806" width="10.85546875" style="206" customWidth="1"/>
    <col min="1807" max="1808" width="0" style="206" hidden="1" customWidth="1"/>
    <col min="1809" max="1809" width="10.7109375" style="206" customWidth="1"/>
    <col min="1810" max="2045" width="9.7109375" style="206"/>
    <col min="2046" max="2046" width="10.7109375" style="206" customWidth="1"/>
    <col min="2047" max="2049" width="0" style="206" hidden="1" customWidth="1"/>
    <col min="2050" max="2050" width="10.7109375" style="206" customWidth="1"/>
    <col min="2051" max="2052" width="0" style="206" hidden="1" customWidth="1"/>
    <col min="2053" max="2053" width="10.7109375" style="206" customWidth="1"/>
    <col min="2054" max="2057" width="0" style="206" hidden="1" customWidth="1"/>
    <col min="2058" max="2058" width="10.7109375" style="206" customWidth="1"/>
    <col min="2059" max="2059" width="13" style="206" bestFit="1" customWidth="1"/>
    <col min="2060" max="2060" width="10.7109375" style="206" customWidth="1"/>
    <col min="2061" max="2061" width="9.140625" style="206" bestFit="1" customWidth="1"/>
    <col min="2062" max="2062" width="10.85546875" style="206" customWidth="1"/>
    <col min="2063" max="2064" width="0" style="206" hidden="1" customWidth="1"/>
    <col min="2065" max="2065" width="10.7109375" style="206" customWidth="1"/>
    <col min="2066" max="2301" width="9.7109375" style="206"/>
    <col min="2302" max="2302" width="10.7109375" style="206" customWidth="1"/>
    <col min="2303" max="2305" width="0" style="206" hidden="1" customWidth="1"/>
    <col min="2306" max="2306" width="10.7109375" style="206" customWidth="1"/>
    <col min="2307" max="2308" width="0" style="206" hidden="1" customWidth="1"/>
    <col min="2309" max="2309" width="10.7109375" style="206" customWidth="1"/>
    <col min="2310" max="2313" width="0" style="206" hidden="1" customWidth="1"/>
    <col min="2314" max="2314" width="10.7109375" style="206" customWidth="1"/>
    <col min="2315" max="2315" width="13" style="206" bestFit="1" customWidth="1"/>
    <col min="2316" max="2316" width="10.7109375" style="206" customWidth="1"/>
    <col min="2317" max="2317" width="9.140625" style="206" bestFit="1" customWidth="1"/>
    <col min="2318" max="2318" width="10.85546875" style="206" customWidth="1"/>
    <col min="2319" max="2320" width="0" style="206" hidden="1" customWidth="1"/>
    <col min="2321" max="2321" width="10.7109375" style="206" customWidth="1"/>
    <col min="2322" max="2557" width="9.7109375" style="206"/>
    <col min="2558" max="2558" width="10.7109375" style="206" customWidth="1"/>
    <col min="2559" max="2561" width="0" style="206" hidden="1" customWidth="1"/>
    <col min="2562" max="2562" width="10.7109375" style="206" customWidth="1"/>
    <col min="2563" max="2564" width="0" style="206" hidden="1" customWidth="1"/>
    <col min="2565" max="2565" width="10.7109375" style="206" customWidth="1"/>
    <col min="2566" max="2569" width="0" style="206" hidden="1" customWidth="1"/>
    <col min="2570" max="2570" width="10.7109375" style="206" customWidth="1"/>
    <col min="2571" max="2571" width="13" style="206" bestFit="1" customWidth="1"/>
    <col min="2572" max="2572" width="10.7109375" style="206" customWidth="1"/>
    <col min="2573" max="2573" width="9.140625" style="206" bestFit="1" customWidth="1"/>
    <col min="2574" max="2574" width="10.85546875" style="206" customWidth="1"/>
    <col min="2575" max="2576" width="0" style="206" hidden="1" customWidth="1"/>
    <col min="2577" max="2577" width="10.7109375" style="206" customWidth="1"/>
    <col min="2578" max="2813" width="9.7109375" style="206"/>
    <col min="2814" max="2814" width="10.7109375" style="206" customWidth="1"/>
    <col min="2815" max="2817" width="0" style="206" hidden="1" customWidth="1"/>
    <col min="2818" max="2818" width="10.7109375" style="206" customWidth="1"/>
    <col min="2819" max="2820" width="0" style="206" hidden="1" customWidth="1"/>
    <col min="2821" max="2821" width="10.7109375" style="206" customWidth="1"/>
    <col min="2822" max="2825" width="0" style="206" hidden="1" customWidth="1"/>
    <col min="2826" max="2826" width="10.7109375" style="206" customWidth="1"/>
    <col min="2827" max="2827" width="13" style="206" bestFit="1" customWidth="1"/>
    <col min="2828" max="2828" width="10.7109375" style="206" customWidth="1"/>
    <col min="2829" max="2829" width="9.140625" style="206" bestFit="1" customWidth="1"/>
    <col min="2830" max="2830" width="10.85546875" style="206" customWidth="1"/>
    <col min="2831" max="2832" width="0" style="206" hidden="1" customWidth="1"/>
    <col min="2833" max="2833" width="10.7109375" style="206" customWidth="1"/>
    <col min="2834" max="3069" width="9.7109375" style="206"/>
    <col min="3070" max="3070" width="10.7109375" style="206" customWidth="1"/>
    <col min="3071" max="3073" width="0" style="206" hidden="1" customWidth="1"/>
    <col min="3074" max="3074" width="10.7109375" style="206" customWidth="1"/>
    <col min="3075" max="3076" width="0" style="206" hidden="1" customWidth="1"/>
    <col min="3077" max="3077" width="10.7109375" style="206" customWidth="1"/>
    <col min="3078" max="3081" width="0" style="206" hidden="1" customWidth="1"/>
    <col min="3082" max="3082" width="10.7109375" style="206" customWidth="1"/>
    <col min="3083" max="3083" width="13" style="206" bestFit="1" customWidth="1"/>
    <col min="3084" max="3084" width="10.7109375" style="206" customWidth="1"/>
    <col min="3085" max="3085" width="9.140625" style="206" bestFit="1" customWidth="1"/>
    <col min="3086" max="3086" width="10.85546875" style="206" customWidth="1"/>
    <col min="3087" max="3088" width="0" style="206" hidden="1" customWidth="1"/>
    <col min="3089" max="3089" width="10.7109375" style="206" customWidth="1"/>
    <col min="3090" max="3325" width="9.7109375" style="206"/>
    <col min="3326" max="3326" width="10.7109375" style="206" customWidth="1"/>
    <col min="3327" max="3329" width="0" style="206" hidden="1" customWidth="1"/>
    <col min="3330" max="3330" width="10.7109375" style="206" customWidth="1"/>
    <col min="3331" max="3332" width="0" style="206" hidden="1" customWidth="1"/>
    <col min="3333" max="3333" width="10.7109375" style="206" customWidth="1"/>
    <col min="3334" max="3337" width="0" style="206" hidden="1" customWidth="1"/>
    <col min="3338" max="3338" width="10.7109375" style="206" customWidth="1"/>
    <col min="3339" max="3339" width="13" style="206" bestFit="1" customWidth="1"/>
    <col min="3340" max="3340" width="10.7109375" style="206" customWidth="1"/>
    <col min="3341" max="3341" width="9.140625" style="206" bestFit="1" customWidth="1"/>
    <col min="3342" max="3342" width="10.85546875" style="206" customWidth="1"/>
    <col min="3343" max="3344" width="0" style="206" hidden="1" customWidth="1"/>
    <col min="3345" max="3345" width="10.7109375" style="206" customWidth="1"/>
    <col min="3346" max="3581" width="9.7109375" style="206"/>
    <col min="3582" max="3582" width="10.7109375" style="206" customWidth="1"/>
    <col min="3583" max="3585" width="0" style="206" hidden="1" customWidth="1"/>
    <col min="3586" max="3586" width="10.7109375" style="206" customWidth="1"/>
    <col min="3587" max="3588" width="0" style="206" hidden="1" customWidth="1"/>
    <col min="3589" max="3589" width="10.7109375" style="206" customWidth="1"/>
    <col min="3590" max="3593" width="0" style="206" hidden="1" customWidth="1"/>
    <col min="3594" max="3594" width="10.7109375" style="206" customWidth="1"/>
    <col min="3595" max="3595" width="13" style="206" bestFit="1" customWidth="1"/>
    <col min="3596" max="3596" width="10.7109375" style="206" customWidth="1"/>
    <col min="3597" max="3597" width="9.140625" style="206" bestFit="1" customWidth="1"/>
    <col min="3598" max="3598" width="10.85546875" style="206" customWidth="1"/>
    <col min="3599" max="3600" width="0" style="206" hidden="1" customWidth="1"/>
    <col min="3601" max="3601" width="10.7109375" style="206" customWidth="1"/>
    <col min="3602" max="3837" width="9.7109375" style="206"/>
    <col min="3838" max="3838" width="10.7109375" style="206" customWidth="1"/>
    <col min="3839" max="3841" width="0" style="206" hidden="1" customWidth="1"/>
    <col min="3842" max="3842" width="10.7109375" style="206" customWidth="1"/>
    <col min="3843" max="3844" width="0" style="206" hidden="1" customWidth="1"/>
    <col min="3845" max="3845" width="10.7109375" style="206" customWidth="1"/>
    <col min="3846" max="3849" width="0" style="206" hidden="1" customWidth="1"/>
    <col min="3850" max="3850" width="10.7109375" style="206" customWidth="1"/>
    <col min="3851" max="3851" width="13" style="206" bestFit="1" customWidth="1"/>
    <col min="3852" max="3852" width="10.7109375" style="206" customWidth="1"/>
    <col min="3853" max="3853" width="9.140625" style="206" bestFit="1" customWidth="1"/>
    <col min="3854" max="3854" width="10.85546875" style="206" customWidth="1"/>
    <col min="3855" max="3856" width="0" style="206" hidden="1" customWidth="1"/>
    <col min="3857" max="3857" width="10.7109375" style="206" customWidth="1"/>
    <col min="3858" max="4093" width="9.7109375" style="206"/>
    <col min="4094" max="4094" width="10.7109375" style="206" customWidth="1"/>
    <col min="4095" max="4097" width="0" style="206" hidden="1" customWidth="1"/>
    <col min="4098" max="4098" width="10.7109375" style="206" customWidth="1"/>
    <col min="4099" max="4100" width="0" style="206" hidden="1" customWidth="1"/>
    <col min="4101" max="4101" width="10.7109375" style="206" customWidth="1"/>
    <col min="4102" max="4105" width="0" style="206" hidden="1" customWidth="1"/>
    <col min="4106" max="4106" width="10.7109375" style="206" customWidth="1"/>
    <col min="4107" max="4107" width="13" style="206" bestFit="1" customWidth="1"/>
    <col min="4108" max="4108" width="10.7109375" style="206" customWidth="1"/>
    <col min="4109" max="4109" width="9.140625" style="206" bestFit="1" customWidth="1"/>
    <col min="4110" max="4110" width="10.85546875" style="206" customWidth="1"/>
    <col min="4111" max="4112" width="0" style="206" hidden="1" customWidth="1"/>
    <col min="4113" max="4113" width="10.7109375" style="206" customWidth="1"/>
    <col min="4114" max="4349" width="9.7109375" style="206"/>
    <col min="4350" max="4350" width="10.7109375" style="206" customWidth="1"/>
    <col min="4351" max="4353" width="0" style="206" hidden="1" customWidth="1"/>
    <col min="4354" max="4354" width="10.7109375" style="206" customWidth="1"/>
    <col min="4355" max="4356" width="0" style="206" hidden="1" customWidth="1"/>
    <col min="4357" max="4357" width="10.7109375" style="206" customWidth="1"/>
    <col min="4358" max="4361" width="0" style="206" hidden="1" customWidth="1"/>
    <col min="4362" max="4362" width="10.7109375" style="206" customWidth="1"/>
    <col min="4363" max="4363" width="13" style="206" bestFit="1" customWidth="1"/>
    <col min="4364" max="4364" width="10.7109375" style="206" customWidth="1"/>
    <col min="4365" max="4365" width="9.140625" style="206" bestFit="1" customWidth="1"/>
    <col min="4366" max="4366" width="10.85546875" style="206" customWidth="1"/>
    <col min="4367" max="4368" width="0" style="206" hidden="1" customWidth="1"/>
    <col min="4369" max="4369" width="10.7109375" style="206" customWidth="1"/>
    <col min="4370" max="4605" width="9.7109375" style="206"/>
    <col min="4606" max="4606" width="10.7109375" style="206" customWidth="1"/>
    <col min="4607" max="4609" width="0" style="206" hidden="1" customWidth="1"/>
    <col min="4610" max="4610" width="10.7109375" style="206" customWidth="1"/>
    <col min="4611" max="4612" width="0" style="206" hidden="1" customWidth="1"/>
    <col min="4613" max="4613" width="10.7109375" style="206" customWidth="1"/>
    <col min="4614" max="4617" width="0" style="206" hidden="1" customWidth="1"/>
    <col min="4618" max="4618" width="10.7109375" style="206" customWidth="1"/>
    <col min="4619" max="4619" width="13" style="206" bestFit="1" customWidth="1"/>
    <col min="4620" max="4620" width="10.7109375" style="206" customWidth="1"/>
    <col min="4621" max="4621" width="9.140625" style="206" bestFit="1" customWidth="1"/>
    <col min="4622" max="4622" width="10.85546875" style="206" customWidth="1"/>
    <col min="4623" max="4624" width="0" style="206" hidden="1" customWidth="1"/>
    <col min="4625" max="4625" width="10.7109375" style="206" customWidth="1"/>
    <col min="4626" max="4861" width="9.7109375" style="206"/>
    <col min="4862" max="4862" width="10.7109375" style="206" customWidth="1"/>
    <col min="4863" max="4865" width="0" style="206" hidden="1" customWidth="1"/>
    <col min="4866" max="4866" width="10.7109375" style="206" customWidth="1"/>
    <col min="4867" max="4868" width="0" style="206" hidden="1" customWidth="1"/>
    <col min="4869" max="4869" width="10.7109375" style="206" customWidth="1"/>
    <col min="4870" max="4873" width="0" style="206" hidden="1" customWidth="1"/>
    <col min="4874" max="4874" width="10.7109375" style="206" customWidth="1"/>
    <col min="4875" max="4875" width="13" style="206" bestFit="1" customWidth="1"/>
    <col min="4876" max="4876" width="10.7109375" style="206" customWidth="1"/>
    <col min="4877" max="4877" width="9.140625" style="206" bestFit="1" customWidth="1"/>
    <col min="4878" max="4878" width="10.85546875" style="206" customWidth="1"/>
    <col min="4879" max="4880" width="0" style="206" hidden="1" customWidth="1"/>
    <col min="4881" max="4881" width="10.7109375" style="206" customWidth="1"/>
    <col min="4882" max="5117" width="9.7109375" style="206"/>
    <col min="5118" max="5118" width="10.7109375" style="206" customWidth="1"/>
    <col min="5119" max="5121" width="0" style="206" hidden="1" customWidth="1"/>
    <col min="5122" max="5122" width="10.7109375" style="206" customWidth="1"/>
    <col min="5123" max="5124" width="0" style="206" hidden="1" customWidth="1"/>
    <col min="5125" max="5125" width="10.7109375" style="206" customWidth="1"/>
    <col min="5126" max="5129" width="0" style="206" hidden="1" customWidth="1"/>
    <col min="5130" max="5130" width="10.7109375" style="206" customWidth="1"/>
    <col min="5131" max="5131" width="13" style="206" bestFit="1" customWidth="1"/>
    <col min="5132" max="5132" width="10.7109375" style="206" customWidth="1"/>
    <col min="5133" max="5133" width="9.140625" style="206" bestFit="1" customWidth="1"/>
    <col min="5134" max="5134" width="10.85546875" style="206" customWidth="1"/>
    <col min="5135" max="5136" width="0" style="206" hidden="1" customWidth="1"/>
    <col min="5137" max="5137" width="10.7109375" style="206" customWidth="1"/>
    <col min="5138" max="5373" width="9.7109375" style="206"/>
    <col min="5374" max="5374" width="10.7109375" style="206" customWidth="1"/>
    <col min="5375" max="5377" width="0" style="206" hidden="1" customWidth="1"/>
    <col min="5378" max="5378" width="10.7109375" style="206" customWidth="1"/>
    <col min="5379" max="5380" width="0" style="206" hidden="1" customWidth="1"/>
    <col min="5381" max="5381" width="10.7109375" style="206" customWidth="1"/>
    <col min="5382" max="5385" width="0" style="206" hidden="1" customWidth="1"/>
    <col min="5386" max="5386" width="10.7109375" style="206" customWidth="1"/>
    <col min="5387" max="5387" width="13" style="206" bestFit="1" customWidth="1"/>
    <col min="5388" max="5388" width="10.7109375" style="206" customWidth="1"/>
    <col min="5389" max="5389" width="9.140625" style="206" bestFit="1" customWidth="1"/>
    <col min="5390" max="5390" width="10.85546875" style="206" customWidth="1"/>
    <col min="5391" max="5392" width="0" style="206" hidden="1" customWidth="1"/>
    <col min="5393" max="5393" width="10.7109375" style="206" customWidth="1"/>
    <col min="5394" max="5629" width="9.7109375" style="206"/>
    <col min="5630" max="5630" width="10.7109375" style="206" customWidth="1"/>
    <col min="5631" max="5633" width="0" style="206" hidden="1" customWidth="1"/>
    <col min="5634" max="5634" width="10.7109375" style="206" customWidth="1"/>
    <col min="5635" max="5636" width="0" style="206" hidden="1" customWidth="1"/>
    <col min="5637" max="5637" width="10.7109375" style="206" customWidth="1"/>
    <col min="5638" max="5641" width="0" style="206" hidden="1" customWidth="1"/>
    <col min="5642" max="5642" width="10.7109375" style="206" customWidth="1"/>
    <col min="5643" max="5643" width="13" style="206" bestFit="1" customWidth="1"/>
    <col min="5644" max="5644" width="10.7109375" style="206" customWidth="1"/>
    <col min="5645" max="5645" width="9.140625" style="206" bestFit="1" customWidth="1"/>
    <col min="5646" max="5646" width="10.85546875" style="206" customWidth="1"/>
    <col min="5647" max="5648" width="0" style="206" hidden="1" customWidth="1"/>
    <col min="5649" max="5649" width="10.7109375" style="206" customWidth="1"/>
    <col min="5650" max="5885" width="9.7109375" style="206"/>
    <col min="5886" max="5886" width="10.7109375" style="206" customWidth="1"/>
    <col min="5887" max="5889" width="0" style="206" hidden="1" customWidth="1"/>
    <col min="5890" max="5890" width="10.7109375" style="206" customWidth="1"/>
    <col min="5891" max="5892" width="0" style="206" hidden="1" customWidth="1"/>
    <col min="5893" max="5893" width="10.7109375" style="206" customWidth="1"/>
    <col min="5894" max="5897" width="0" style="206" hidden="1" customWidth="1"/>
    <col min="5898" max="5898" width="10.7109375" style="206" customWidth="1"/>
    <col min="5899" max="5899" width="13" style="206" bestFit="1" customWidth="1"/>
    <col min="5900" max="5900" width="10.7109375" style="206" customWidth="1"/>
    <col min="5901" max="5901" width="9.140625" style="206" bestFit="1" customWidth="1"/>
    <col min="5902" max="5902" width="10.85546875" style="206" customWidth="1"/>
    <col min="5903" max="5904" width="0" style="206" hidden="1" customWidth="1"/>
    <col min="5905" max="5905" width="10.7109375" style="206" customWidth="1"/>
    <col min="5906" max="6141" width="9.7109375" style="206"/>
    <col min="6142" max="6142" width="10.7109375" style="206" customWidth="1"/>
    <col min="6143" max="6145" width="0" style="206" hidden="1" customWidth="1"/>
    <col min="6146" max="6146" width="10.7109375" style="206" customWidth="1"/>
    <col min="6147" max="6148" width="0" style="206" hidden="1" customWidth="1"/>
    <col min="6149" max="6149" width="10.7109375" style="206" customWidth="1"/>
    <col min="6150" max="6153" width="0" style="206" hidden="1" customWidth="1"/>
    <col min="6154" max="6154" width="10.7109375" style="206" customWidth="1"/>
    <col min="6155" max="6155" width="13" style="206" bestFit="1" customWidth="1"/>
    <col min="6156" max="6156" width="10.7109375" style="206" customWidth="1"/>
    <col min="6157" max="6157" width="9.140625" style="206" bestFit="1" customWidth="1"/>
    <col min="6158" max="6158" width="10.85546875" style="206" customWidth="1"/>
    <col min="6159" max="6160" width="0" style="206" hidden="1" customWidth="1"/>
    <col min="6161" max="6161" width="10.7109375" style="206" customWidth="1"/>
    <col min="6162" max="6397" width="9.7109375" style="206"/>
    <col min="6398" max="6398" width="10.7109375" style="206" customWidth="1"/>
    <col min="6399" max="6401" width="0" style="206" hidden="1" customWidth="1"/>
    <col min="6402" max="6402" width="10.7109375" style="206" customWidth="1"/>
    <col min="6403" max="6404" width="0" style="206" hidden="1" customWidth="1"/>
    <col min="6405" max="6405" width="10.7109375" style="206" customWidth="1"/>
    <col min="6406" max="6409" width="0" style="206" hidden="1" customWidth="1"/>
    <col min="6410" max="6410" width="10.7109375" style="206" customWidth="1"/>
    <col min="6411" max="6411" width="13" style="206" bestFit="1" customWidth="1"/>
    <col min="6412" max="6412" width="10.7109375" style="206" customWidth="1"/>
    <col min="6413" max="6413" width="9.140625" style="206" bestFit="1" customWidth="1"/>
    <col min="6414" max="6414" width="10.85546875" style="206" customWidth="1"/>
    <col min="6415" max="6416" width="0" style="206" hidden="1" customWidth="1"/>
    <col min="6417" max="6417" width="10.7109375" style="206" customWidth="1"/>
    <col min="6418" max="6653" width="9.7109375" style="206"/>
    <col min="6654" max="6654" width="10.7109375" style="206" customWidth="1"/>
    <col min="6655" max="6657" width="0" style="206" hidden="1" customWidth="1"/>
    <col min="6658" max="6658" width="10.7109375" style="206" customWidth="1"/>
    <col min="6659" max="6660" width="0" style="206" hidden="1" customWidth="1"/>
    <col min="6661" max="6661" width="10.7109375" style="206" customWidth="1"/>
    <col min="6662" max="6665" width="0" style="206" hidden="1" customWidth="1"/>
    <col min="6666" max="6666" width="10.7109375" style="206" customWidth="1"/>
    <col min="6667" max="6667" width="13" style="206" bestFit="1" customWidth="1"/>
    <col min="6668" max="6668" width="10.7109375" style="206" customWidth="1"/>
    <col min="6669" max="6669" width="9.140625" style="206" bestFit="1" customWidth="1"/>
    <col min="6670" max="6670" width="10.85546875" style="206" customWidth="1"/>
    <col min="6671" max="6672" width="0" style="206" hidden="1" customWidth="1"/>
    <col min="6673" max="6673" width="10.7109375" style="206" customWidth="1"/>
    <col min="6674" max="6909" width="9.7109375" style="206"/>
    <col min="6910" max="6910" width="10.7109375" style="206" customWidth="1"/>
    <col min="6911" max="6913" width="0" style="206" hidden="1" customWidth="1"/>
    <col min="6914" max="6914" width="10.7109375" style="206" customWidth="1"/>
    <col min="6915" max="6916" width="0" style="206" hidden="1" customWidth="1"/>
    <col min="6917" max="6917" width="10.7109375" style="206" customWidth="1"/>
    <col min="6918" max="6921" width="0" style="206" hidden="1" customWidth="1"/>
    <col min="6922" max="6922" width="10.7109375" style="206" customWidth="1"/>
    <col min="6923" max="6923" width="13" style="206" bestFit="1" customWidth="1"/>
    <col min="6924" max="6924" width="10.7109375" style="206" customWidth="1"/>
    <col min="6925" max="6925" width="9.140625" style="206" bestFit="1" customWidth="1"/>
    <col min="6926" max="6926" width="10.85546875" style="206" customWidth="1"/>
    <col min="6927" max="6928" width="0" style="206" hidden="1" customWidth="1"/>
    <col min="6929" max="6929" width="10.7109375" style="206" customWidth="1"/>
    <col min="6930" max="7165" width="9.7109375" style="206"/>
    <col min="7166" max="7166" width="10.7109375" style="206" customWidth="1"/>
    <col min="7167" max="7169" width="0" style="206" hidden="1" customWidth="1"/>
    <col min="7170" max="7170" width="10.7109375" style="206" customWidth="1"/>
    <col min="7171" max="7172" width="0" style="206" hidden="1" customWidth="1"/>
    <col min="7173" max="7173" width="10.7109375" style="206" customWidth="1"/>
    <col min="7174" max="7177" width="0" style="206" hidden="1" customWidth="1"/>
    <col min="7178" max="7178" width="10.7109375" style="206" customWidth="1"/>
    <col min="7179" max="7179" width="13" style="206" bestFit="1" customWidth="1"/>
    <col min="7180" max="7180" width="10.7109375" style="206" customWidth="1"/>
    <col min="7181" max="7181" width="9.140625" style="206" bestFit="1" customWidth="1"/>
    <col min="7182" max="7182" width="10.85546875" style="206" customWidth="1"/>
    <col min="7183" max="7184" width="0" style="206" hidden="1" customWidth="1"/>
    <col min="7185" max="7185" width="10.7109375" style="206" customWidth="1"/>
    <col min="7186" max="7421" width="9.7109375" style="206"/>
    <col min="7422" max="7422" width="10.7109375" style="206" customWidth="1"/>
    <col min="7423" max="7425" width="0" style="206" hidden="1" customWidth="1"/>
    <col min="7426" max="7426" width="10.7109375" style="206" customWidth="1"/>
    <col min="7427" max="7428" width="0" style="206" hidden="1" customWidth="1"/>
    <col min="7429" max="7429" width="10.7109375" style="206" customWidth="1"/>
    <col min="7430" max="7433" width="0" style="206" hidden="1" customWidth="1"/>
    <col min="7434" max="7434" width="10.7109375" style="206" customWidth="1"/>
    <col min="7435" max="7435" width="13" style="206" bestFit="1" customWidth="1"/>
    <col min="7436" max="7436" width="10.7109375" style="206" customWidth="1"/>
    <col min="7437" max="7437" width="9.140625" style="206" bestFit="1" customWidth="1"/>
    <col min="7438" max="7438" width="10.85546875" style="206" customWidth="1"/>
    <col min="7439" max="7440" width="0" style="206" hidden="1" customWidth="1"/>
    <col min="7441" max="7441" width="10.7109375" style="206" customWidth="1"/>
    <col min="7442" max="7677" width="9.7109375" style="206"/>
    <col min="7678" max="7678" width="10.7109375" style="206" customWidth="1"/>
    <col min="7679" max="7681" width="0" style="206" hidden="1" customWidth="1"/>
    <col min="7682" max="7682" width="10.7109375" style="206" customWidth="1"/>
    <col min="7683" max="7684" width="0" style="206" hidden="1" customWidth="1"/>
    <col min="7685" max="7685" width="10.7109375" style="206" customWidth="1"/>
    <col min="7686" max="7689" width="0" style="206" hidden="1" customWidth="1"/>
    <col min="7690" max="7690" width="10.7109375" style="206" customWidth="1"/>
    <col min="7691" max="7691" width="13" style="206" bestFit="1" customWidth="1"/>
    <col min="7692" max="7692" width="10.7109375" style="206" customWidth="1"/>
    <col min="7693" max="7693" width="9.140625" style="206" bestFit="1" customWidth="1"/>
    <col min="7694" max="7694" width="10.85546875" style="206" customWidth="1"/>
    <col min="7695" max="7696" width="0" style="206" hidden="1" customWidth="1"/>
    <col min="7697" max="7697" width="10.7109375" style="206" customWidth="1"/>
    <col min="7698" max="7933" width="9.7109375" style="206"/>
    <col min="7934" max="7934" width="10.7109375" style="206" customWidth="1"/>
    <col min="7935" max="7937" width="0" style="206" hidden="1" customWidth="1"/>
    <col min="7938" max="7938" width="10.7109375" style="206" customWidth="1"/>
    <col min="7939" max="7940" width="0" style="206" hidden="1" customWidth="1"/>
    <col min="7941" max="7941" width="10.7109375" style="206" customWidth="1"/>
    <col min="7942" max="7945" width="0" style="206" hidden="1" customWidth="1"/>
    <col min="7946" max="7946" width="10.7109375" style="206" customWidth="1"/>
    <col min="7947" max="7947" width="13" style="206" bestFit="1" customWidth="1"/>
    <col min="7948" max="7948" width="10.7109375" style="206" customWidth="1"/>
    <col min="7949" max="7949" width="9.140625" style="206" bestFit="1" customWidth="1"/>
    <col min="7950" max="7950" width="10.85546875" style="206" customWidth="1"/>
    <col min="7951" max="7952" width="0" style="206" hidden="1" customWidth="1"/>
    <col min="7953" max="7953" width="10.7109375" style="206" customWidth="1"/>
    <col min="7954" max="8189" width="9.7109375" style="206"/>
    <col min="8190" max="8190" width="10.7109375" style="206" customWidth="1"/>
    <col min="8191" max="8193" width="0" style="206" hidden="1" customWidth="1"/>
    <col min="8194" max="8194" width="10.7109375" style="206" customWidth="1"/>
    <col min="8195" max="8196" width="0" style="206" hidden="1" customWidth="1"/>
    <col min="8197" max="8197" width="10.7109375" style="206" customWidth="1"/>
    <col min="8198" max="8201" width="0" style="206" hidden="1" customWidth="1"/>
    <col min="8202" max="8202" width="10.7109375" style="206" customWidth="1"/>
    <col min="8203" max="8203" width="13" style="206" bestFit="1" customWidth="1"/>
    <col min="8204" max="8204" width="10.7109375" style="206" customWidth="1"/>
    <col min="8205" max="8205" width="9.140625" style="206" bestFit="1" customWidth="1"/>
    <col min="8206" max="8206" width="10.85546875" style="206" customWidth="1"/>
    <col min="8207" max="8208" width="0" style="206" hidden="1" customWidth="1"/>
    <col min="8209" max="8209" width="10.7109375" style="206" customWidth="1"/>
    <col min="8210" max="8445" width="9.7109375" style="206"/>
    <col min="8446" max="8446" width="10.7109375" style="206" customWidth="1"/>
    <col min="8447" max="8449" width="0" style="206" hidden="1" customWidth="1"/>
    <col min="8450" max="8450" width="10.7109375" style="206" customWidth="1"/>
    <col min="8451" max="8452" width="0" style="206" hidden="1" customWidth="1"/>
    <col min="8453" max="8453" width="10.7109375" style="206" customWidth="1"/>
    <col min="8454" max="8457" width="0" style="206" hidden="1" customWidth="1"/>
    <col min="8458" max="8458" width="10.7109375" style="206" customWidth="1"/>
    <col min="8459" max="8459" width="13" style="206" bestFit="1" customWidth="1"/>
    <col min="8460" max="8460" width="10.7109375" style="206" customWidth="1"/>
    <col min="8461" max="8461" width="9.140625" style="206" bestFit="1" customWidth="1"/>
    <col min="8462" max="8462" width="10.85546875" style="206" customWidth="1"/>
    <col min="8463" max="8464" width="0" style="206" hidden="1" customWidth="1"/>
    <col min="8465" max="8465" width="10.7109375" style="206" customWidth="1"/>
    <col min="8466" max="8701" width="9.7109375" style="206"/>
    <col min="8702" max="8702" width="10.7109375" style="206" customWidth="1"/>
    <col min="8703" max="8705" width="0" style="206" hidden="1" customWidth="1"/>
    <col min="8706" max="8706" width="10.7109375" style="206" customWidth="1"/>
    <col min="8707" max="8708" width="0" style="206" hidden="1" customWidth="1"/>
    <col min="8709" max="8709" width="10.7109375" style="206" customWidth="1"/>
    <col min="8710" max="8713" width="0" style="206" hidden="1" customWidth="1"/>
    <col min="8714" max="8714" width="10.7109375" style="206" customWidth="1"/>
    <col min="8715" max="8715" width="13" style="206" bestFit="1" customWidth="1"/>
    <col min="8716" max="8716" width="10.7109375" style="206" customWidth="1"/>
    <col min="8717" max="8717" width="9.140625" style="206" bestFit="1" customWidth="1"/>
    <col min="8718" max="8718" width="10.85546875" style="206" customWidth="1"/>
    <col min="8719" max="8720" width="0" style="206" hidden="1" customWidth="1"/>
    <col min="8721" max="8721" width="10.7109375" style="206" customWidth="1"/>
    <col min="8722" max="8957" width="9.7109375" style="206"/>
    <col min="8958" max="8958" width="10.7109375" style="206" customWidth="1"/>
    <col min="8959" max="8961" width="0" style="206" hidden="1" customWidth="1"/>
    <col min="8962" max="8962" width="10.7109375" style="206" customWidth="1"/>
    <col min="8963" max="8964" width="0" style="206" hidden="1" customWidth="1"/>
    <col min="8965" max="8965" width="10.7109375" style="206" customWidth="1"/>
    <col min="8966" max="8969" width="0" style="206" hidden="1" customWidth="1"/>
    <col min="8970" max="8970" width="10.7109375" style="206" customWidth="1"/>
    <col min="8971" max="8971" width="13" style="206" bestFit="1" customWidth="1"/>
    <col min="8972" max="8972" width="10.7109375" style="206" customWidth="1"/>
    <col min="8973" max="8973" width="9.140625" style="206" bestFit="1" customWidth="1"/>
    <col min="8974" max="8974" width="10.85546875" style="206" customWidth="1"/>
    <col min="8975" max="8976" width="0" style="206" hidden="1" customWidth="1"/>
    <col min="8977" max="8977" width="10.7109375" style="206" customWidth="1"/>
    <col min="8978" max="9213" width="9.7109375" style="206"/>
    <col min="9214" max="9214" width="10.7109375" style="206" customWidth="1"/>
    <col min="9215" max="9217" width="0" style="206" hidden="1" customWidth="1"/>
    <col min="9218" max="9218" width="10.7109375" style="206" customWidth="1"/>
    <col min="9219" max="9220" width="0" style="206" hidden="1" customWidth="1"/>
    <col min="9221" max="9221" width="10.7109375" style="206" customWidth="1"/>
    <col min="9222" max="9225" width="0" style="206" hidden="1" customWidth="1"/>
    <col min="9226" max="9226" width="10.7109375" style="206" customWidth="1"/>
    <col min="9227" max="9227" width="13" style="206" bestFit="1" customWidth="1"/>
    <col min="9228" max="9228" width="10.7109375" style="206" customWidth="1"/>
    <col min="9229" max="9229" width="9.140625" style="206" bestFit="1" customWidth="1"/>
    <col min="9230" max="9230" width="10.85546875" style="206" customWidth="1"/>
    <col min="9231" max="9232" width="0" style="206" hidden="1" customWidth="1"/>
    <col min="9233" max="9233" width="10.7109375" style="206" customWidth="1"/>
    <col min="9234" max="9469" width="9.7109375" style="206"/>
    <col min="9470" max="9470" width="10.7109375" style="206" customWidth="1"/>
    <col min="9471" max="9473" width="0" style="206" hidden="1" customWidth="1"/>
    <col min="9474" max="9474" width="10.7109375" style="206" customWidth="1"/>
    <col min="9475" max="9476" width="0" style="206" hidden="1" customWidth="1"/>
    <col min="9477" max="9477" width="10.7109375" style="206" customWidth="1"/>
    <col min="9478" max="9481" width="0" style="206" hidden="1" customWidth="1"/>
    <col min="9482" max="9482" width="10.7109375" style="206" customWidth="1"/>
    <col min="9483" max="9483" width="13" style="206" bestFit="1" customWidth="1"/>
    <col min="9484" max="9484" width="10.7109375" style="206" customWidth="1"/>
    <col min="9485" max="9485" width="9.140625" style="206" bestFit="1" customWidth="1"/>
    <col min="9486" max="9486" width="10.85546875" style="206" customWidth="1"/>
    <col min="9487" max="9488" width="0" style="206" hidden="1" customWidth="1"/>
    <col min="9489" max="9489" width="10.7109375" style="206" customWidth="1"/>
    <col min="9490" max="9725" width="9.7109375" style="206"/>
    <col min="9726" max="9726" width="10.7109375" style="206" customWidth="1"/>
    <col min="9727" max="9729" width="0" style="206" hidden="1" customWidth="1"/>
    <col min="9730" max="9730" width="10.7109375" style="206" customWidth="1"/>
    <col min="9731" max="9732" width="0" style="206" hidden="1" customWidth="1"/>
    <col min="9733" max="9733" width="10.7109375" style="206" customWidth="1"/>
    <col min="9734" max="9737" width="0" style="206" hidden="1" customWidth="1"/>
    <col min="9738" max="9738" width="10.7109375" style="206" customWidth="1"/>
    <col min="9739" max="9739" width="13" style="206" bestFit="1" customWidth="1"/>
    <col min="9740" max="9740" width="10.7109375" style="206" customWidth="1"/>
    <col min="9741" max="9741" width="9.140625" style="206" bestFit="1" customWidth="1"/>
    <col min="9742" max="9742" width="10.85546875" style="206" customWidth="1"/>
    <col min="9743" max="9744" width="0" style="206" hidden="1" customWidth="1"/>
    <col min="9745" max="9745" width="10.7109375" style="206" customWidth="1"/>
    <col min="9746" max="9981" width="9.7109375" style="206"/>
    <col min="9982" max="9982" width="10.7109375" style="206" customWidth="1"/>
    <col min="9983" max="9985" width="0" style="206" hidden="1" customWidth="1"/>
    <col min="9986" max="9986" width="10.7109375" style="206" customWidth="1"/>
    <col min="9987" max="9988" width="0" style="206" hidden="1" customWidth="1"/>
    <col min="9989" max="9989" width="10.7109375" style="206" customWidth="1"/>
    <col min="9990" max="9993" width="0" style="206" hidden="1" customWidth="1"/>
    <col min="9994" max="9994" width="10.7109375" style="206" customWidth="1"/>
    <col min="9995" max="9995" width="13" style="206" bestFit="1" customWidth="1"/>
    <col min="9996" max="9996" width="10.7109375" style="206" customWidth="1"/>
    <col min="9997" max="9997" width="9.140625" style="206" bestFit="1" customWidth="1"/>
    <col min="9998" max="9998" width="10.85546875" style="206" customWidth="1"/>
    <col min="9999" max="10000" width="0" style="206" hidden="1" customWidth="1"/>
    <col min="10001" max="10001" width="10.7109375" style="206" customWidth="1"/>
    <col min="10002" max="10237" width="9.7109375" style="206"/>
    <col min="10238" max="10238" width="10.7109375" style="206" customWidth="1"/>
    <col min="10239" max="10241" width="0" style="206" hidden="1" customWidth="1"/>
    <col min="10242" max="10242" width="10.7109375" style="206" customWidth="1"/>
    <col min="10243" max="10244" width="0" style="206" hidden="1" customWidth="1"/>
    <col min="10245" max="10245" width="10.7109375" style="206" customWidth="1"/>
    <col min="10246" max="10249" width="0" style="206" hidden="1" customWidth="1"/>
    <col min="10250" max="10250" width="10.7109375" style="206" customWidth="1"/>
    <col min="10251" max="10251" width="13" style="206" bestFit="1" customWidth="1"/>
    <col min="10252" max="10252" width="10.7109375" style="206" customWidth="1"/>
    <col min="10253" max="10253" width="9.140625" style="206" bestFit="1" customWidth="1"/>
    <col min="10254" max="10254" width="10.85546875" style="206" customWidth="1"/>
    <col min="10255" max="10256" width="0" style="206" hidden="1" customWidth="1"/>
    <col min="10257" max="10257" width="10.7109375" style="206" customWidth="1"/>
    <col min="10258" max="10493" width="9.7109375" style="206"/>
    <col min="10494" max="10494" width="10.7109375" style="206" customWidth="1"/>
    <col min="10495" max="10497" width="0" style="206" hidden="1" customWidth="1"/>
    <col min="10498" max="10498" width="10.7109375" style="206" customWidth="1"/>
    <col min="10499" max="10500" width="0" style="206" hidden="1" customWidth="1"/>
    <col min="10501" max="10501" width="10.7109375" style="206" customWidth="1"/>
    <col min="10502" max="10505" width="0" style="206" hidden="1" customWidth="1"/>
    <col min="10506" max="10506" width="10.7109375" style="206" customWidth="1"/>
    <col min="10507" max="10507" width="13" style="206" bestFit="1" customWidth="1"/>
    <col min="10508" max="10508" width="10.7109375" style="206" customWidth="1"/>
    <col min="10509" max="10509" width="9.140625" style="206" bestFit="1" customWidth="1"/>
    <col min="10510" max="10510" width="10.85546875" style="206" customWidth="1"/>
    <col min="10511" max="10512" width="0" style="206" hidden="1" customWidth="1"/>
    <col min="10513" max="10513" width="10.7109375" style="206" customWidth="1"/>
    <col min="10514" max="10749" width="9.7109375" style="206"/>
    <col min="10750" max="10750" width="10.7109375" style="206" customWidth="1"/>
    <col min="10751" max="10753" width="0" style="206" hidden="1" customWidth="1"/>
    <col min="10754" max="10754" width="10.7109375" style="206" customWidth="1"/>
    <col min="10755" max="10756" width="0" style="206" hidden="1" customWidth="1"/>
    <col min="10757" max="10757" width="10.7109375" style="206" customWidth="1"/>
    <col min="10758" max="10761" width="0" style="206" hidden="1" customWidth="1"/>
    <col min="10762" max="10762" width="10.7109375" style="206" customWidth="1"/>
    <col min="10763" max="10763" width="13" style="206" bestFit="1" customWidth="1"/>
    <col min="10764" max="10764" width="10.7109375" style="206" customWidth="1"/>
    <col min="10765" max="10765" width="9.140625" style="206" bestFit="1" customWidth="1"/>
    <col min="10766" max="10766" width="10.85546875" style="206" customWidth="1"/>
    <col min="10767" max="10768" width="0" style="206" hidden="1" customWidth="1"/>
    <col min="10769" max="10769" width="10.7109375" style="206" customWidth="1"/>
    <col min="10770" max="11005" width="9.7109375" style="206"/>
    <col min="11006" max="11006" width="10.7109375" style="206" customWidth="1"/>
    <col min="11007" max="11009" width="0" style="206" hidden="1" customWidth="1"/>
    <col min="11010" max="11010" width="10.7109375" style="206" customWidth="1"/>
    <col min="11011" max="11012" width="0" style="206" hidden="1" customWidth="1"/>
    <col min="11013" max="11013" width="10.7109375" style="206" customWidth="1"/>
    <col min="11014" max="11017" width="0" style="206" hidden="1" customWidth="1"/>
    <col min="11018" max="11018" width="10.7109375" style="206" customWidth="1"/>
    <col min="11019" max="11019" width="13" style="206" bestFit="1" customWidth="1"/>
    <col min="11020" max="11020" width="10.7109375" style="206" customWidth="1"/>
    <col min="11021" max="11021" width="9.140625" style="206" bestFit="1" customWidth="1"/>
    <col min="11022" max="11022" width="10.85546875" style="206" customWidth="1"/>
    <col min="11023" max="11024" width="0" style="206" hidden="1" customWidth="1"/>
    <col min="11025" max="11025" width="10.7109375" style="206" customWidth="1"/>
    <col min="11026" max="11261" width="9.7109375" style="206"/>
    <col min="11262" max="11262" width="10.7109375" style="206" customWidth="1"/>
    <col min="11263" max="11265" width="0" style="206" hidden="1" customWidth="1"/>
    <col min="11266" max="11266" width="10.7109375" style="206" customWidth="1"/>
    <col min="11267" max="11268" width="0" style="206" hidden="1" customWidth="1"/>
    <col min="11269" max="11269" width="10.7109375" style="206" customWidth="1"/>
    <col min="11270" max="11273" width="0" style="206" hidden="1" customWidth="1"/>
    <col min="11274" max="11274" width="10.7109375" style="206" customWidth="1"/>
    <col min="11275" max="11275" width="13" style="206" bestFit="1" customWidth="1"/>
    <col min="11276" max="11276" width="10.7109375" style="206" customWidth="1"/>
    <col min="11277" max="11277" width="9.140625" style="206" bestFit="1" customWidth="1"/>
    <col min="11278" max="11278" width="10.85546875" style="206" customWidth="1"/>
    <col min="11279" max="11280" width="0" style="206" hidden="1" customWidth="1"/>
    <col min="11281" max="11281" width="10.7109375" style="206" customWidth="1"/>
    <col min="11282" max="11517" width="9.7109375" style="206"/>
    <col min="11518" max="11518" width="10.7109375" style="206" customWidth="1"/>
    <col min="11519" max="11521" width="0" style="206" hidden="1" customWidth="1"/>
    <col min="11522" max="11522" width="10.7109375" style="206" customWidth="1"/>
    <col min="11523" max="11524" width="0" style="206" hidden="1" customWidth="1"/>
    <col min="11525" max="11525" width="10.7109375" style="206" customWidth="1"/>
    <col min="11526" max="11529" width="0" style="206" hidden="1" customWidth="1"/>
    <col min="11530" max="11530" width="10.7109375" style="206" customWidth="1"/>
    <col min="11531" max="11531" width="13" style="206" bestFit="1" customWidth="1"/>
    <col min="11532" max="11532" width="10.7109375" style="206" customWidth="1"/>
    <col min="11533" max="11533" width="9.140625" style="206" bestFit="1" customWidth="1"/>
    <col min="11534" max="11534" width="10.85546875" style="206" customWidth="1"/>
    <col min="11535" max="11536" width="0" style="206" hidden="1" customWidth="1"/>
    <col min="11537" max="11537" width="10.7109375" style="206" customWidth="1"/>
    <col min="11538" max="11773" width="9.7109375" style="206"/>
    <col min="11774" max="11774" width="10.7109375" style="206" customWidth="1"/>
    <col min="11775" max="11777" width="0" style="206" hidden="1" customWidth="1"/>
    <col min="11778" max="11778" width="10.7109375" style="206" customWidth="1"/>
    <col min="11779" max="11780" width="0" style="206" hidden="1" customWidth="1"/>
    <col min="11781" max="11781" width="10.7109375" style="206" customWidth="1"/>
    <col min="11782" max="11785" width="0" style="206" hidden="1" customWidth="1"/>
    <col min="11786" max="11786" width="10.7109375" style="206" customWidth="1"/>
    <col min="11787" max="11787" width="13" style="206" bestFit="1" customWidth="1"/>
    <col min="11788" max="11788" width="10.7109375" style="206" customWidth="1"/>
    <col min="11789" max="11789" width="9.140625" style="206" bestFit="1" customWidth="1"/>
    <col min="11790" max="11790" width="10.85546875" style="206" customWidth="1"/>
    <col min="11791" max="11792" width="0" style="206" hidden="1" customWidth="1"/>
    <col min="11793" max="11793" width="10.7109375" style="206" customWidth="1"/>
    <col min="11794" max="12029" width="9.7109375" style="206"/>
    <col min="12030" max="12030" width="10.7109375" style="206" customWidth="1"/>
    <col min="12031" max="12033" width="0" style="206" hidden="1" customWidth="1"/>
    <col min="12034" max="12034" width="10.7109375" style="206" customWidth="1"/>
    <col min="12035" max="12036" width="0" style="206" hidden="1" customWidth="1"/>
    <col min="12037" max="12037" width="10.7109375" style="206" customWidth="1"/>
    <col min="12038" max="12041" width="0" style="206" hidden="1" customWidth="1"/>
    <col min="12042" max="12042" width="10.7109375" style="206" customWidth="1"/>
    <col min="12043" max="12043" width="13" style="206" bestFit="1" customWidth="1"/>
    <col min="12044" max="12044" width="10.7109375" style="206" customWidth="1"/>
    <col min="12045" max="12045" width="9.140625" style="206" bestFit="1" customWidth="1"/>
    <col min="12046" max="12046" width="10.85546875" style="206" customWidth="1"/>
    <col min="12047" max="12048" width="0" style="206" hidden="1" customWidth="1"/>
    <col min="12049" max="12049" width="10.7109375" style="206" customWidth="1"/>
    <col min="12050" max="12285" width="9.7109375" style="206"/>
    <col min="12286" max="12286" width="10.7109375" style="206" customWidth="1"/>
    <col min="12287" max="12289" width="0" style="206" hidden="1" customWidth="1"/>
    <col min="12290" max="12290" width="10.7109375" style="206" customWidth="1"/>
    <col min="12291" max="12292" width="0" style="206" hidden="1" customWidth="1"/>
    <col min="12293" max="12293" width="10.7109375" style="206" customWidth="1"/>
    <col min="12294" max="12297" width="0" style="206" hidden="1" customWidth="1"/>
    <col min="12298" max="12298" width="10.7109375" style="206" customWidth="1"/>
    <col min="12299" max="12299" width="13" style="206" bestFit="1" customWidth="1"/>
    <col min="12300" max="12300" width="10.7109375" style="206" customWidth="1"/>
    <col min="12301" max="12301" width="9.140625" style="206" bestFit="1" customWidth="1"/>
    <col min="12302" max="12302" width="10.85546875" style="206" customWidth="1"/>
    <col min="12303" max="12304" width="0" style="206" hidden="1" customWidth="1"/>
    <col min="12305" max="12305" width="10.7109375" style="206" customWidth="1"/>
    <col min="12306" max="12541" width="9.7109375" style="206"/>
    <col min="12542" max="12542" width="10.7109375" style="206" customWidth="1"/>
    <col min="12543" max="12545" width="0" style="206" hidden="1" customWidth="1"/>
    <col min="12546" max="12546" width="10.7109375" style="206" customWidth="1"/>
    <col min="12547" max="12548" width="0" style="206" hidden="1" customWidth="1"/>
    <col min="12549" max="12549" width="10.7109375" style="206" customWidth="1"/>
    <col min="12550" max="12553" width="0" style="206" hidden="1" customWidth="1"/>
    <col min="12554" max="12554" width="10.7109375" style="206" customWidth="1"/>
    <col min="12555" max="12555" width="13" style="206" bestFit="1" customWidth="1"/>
    <col min="12556" max="12556" width="10.7109375" style="206" customWidth="1"/>
    <col min="12557" max="12557" width="9.140625" style="206" bestFit="1" customWidth="1"/>
    <col min="12558" max="12558" width="10.85546875" style="206" customWidth="1"/>
    <col min="12559" max="12560" width="0" style="206" hidden="1" customWidth="1"/>
    <col min="12561" max="12561" width="10.7109375" style="206" customWidth="1"/>
    <col min="12562" max="12797" width="9.7109375" style="206"/>
    <col min="12798" max="12798" width="10.7109375" style="206" customWidth="1"/>
    <col min="12799" max="12801" width="0" style="206" hidden="1" customWidth="1"/>
    <col min="12802" max="12802" width="10.7109375" style="206" customWidth="1"/>
    <col min="12803" max="12804" width="0" style="206" hidden="1" customWidth="1"/>
    <col min="12805" max="12805" width="10.7109375" style="206" customWidth="1"/>
    <col min="12806" max="12809" width="0" style="206" hidden="1" customWidth="1"/>
    <col min="12810" max="12810" width="10.7109375" style="206" customWidth="1"/>
    <col min="12811" max="12811" width="13" style="206" bestFit="1" customWidth="1"/>
    <col min="12812" max="12812" width="10.7109375" style="206" customWidth="1"/>
    <col min="12813" max="12813" width="9.140625" style="206" bestFit="1" customWidth="1"/>
    <col min="12814" max="12814" width="10.85546875" style="206" customWidth="1"/>
    <col min="12815" max="12816" width="0" style="206" hidden="1" customWidth="1"/>
    <col min="12817" max="12817" width="10.7109375" style="206" customWidth="1"/>
    <col min="12818" max="13053" width="9.7109375" style="206"/>
    <col min="13054" max="13054" width="10.7109375" style="206" customWidth="1"/>
    <col min="13055" max="13057" width="0" style="206" hidden="1" customWidth="1"/>
    <col min="13058" max="13058" width="10.7109375" style="206" customWidth="1"/>
    <col min="13059" max="13060" width="0" style="206" hidden="1" customWidth="1"/>
    <col min="13061" max="13061" width="10.7109375" style="206" customWidth="1"/>
    <col min="13062" max="13065" width="0" style="206" hidden="1" customWidth="1"/>
    <col min="13066" max="13066" width="10.7109375" style="206" customWidth="1"/>
    <col min="13067" max="13067" width="13" style="206" bestFit="1" customWidth="1"/>
    <col min="13068" max="13068" width="10.7109375" style="206" customWidth="1"/>
    <col min="13069" max="13069" width="9.140625" style="206" bestFit="1" customWidth="1"/>
    <col min="13070" max="13070" width="10.85546875" style="206" customWidth="1"/>
    <col min="13071" max="13072" width="0" style="206" hidden="1" customWidth="1"/>
    <col min="13073" max="13073" width="10.7109375" style="206" customWidth="1"/>
    <col min="13074" max="13309" width="9.7109375" style="206"/>
    <col min="13310" max="13310" width="10.7109375" style="206" customWidth="1"/>
    <col min="13311" max="13313" width="0" style="206" hidden="1" customWidth="1"/>
    <col min="13314" max="13314" width="10.7109375" style="206" customWidth="1"/>
    <col min="13315" max="13316" width="0" style="206" hidden="1" customWidth="1"/>
    <col min="13317" max="13317" width="10.7109375" style="206" customWidth="1"/>
    <col min="13318" max="13321" width="0" style="206" hidden="1" customWidth="1"/>
    <col min="13322" max="13322" width="10.7109375" style="206" customWidth="1"/>
    <col min="13323" max="13323" width="13" style="206" bestFit="1" customWidth="1"/>
    <col min="13324" max="13324" width="10.7109375" style="206" customWidth="1"/>
    <col min="13325" max="13325" width="9.140625" style="206" bestFit="1" customWidth="1"/>
    <col min="13326" max="13326" width="10.85546875" style="206" customWidth="1"/>
    <col min="13327" max="13328" width="0" style="206" hidden="1" customWidth="1"/>
    <col min="13329" max="13329" width="10.7109375" style="206" customWidth="1"/>
    <col min="13330" max="13565" width="9.7109375" style="206"/>
    <col min="13566" max="13566" width="10.7109375" style="206" customWidth="1"/>
    <col min="13567" max="13569" width="0" style="206" hidden="1" customWidth="1"/>
    <col min="13570" max="13570" width="10.7109375" style="206" customWidth="1"/>
    <col min="13571" max="13572" width="0" style="206" hidden="1" customWidth="1"/>
    <col min="13573" max="13573" width="10.7109375" style="206" customWidth="1"/>
    <col min="13574" max="13577" width="0" style="206" hidden="1" customWidth="1"/>
    <col min="13578" max="13578" width="10.7109375" style="206" customWidth="1"/>
    <col min="13579" max="13579" width="13" style="206" bestFit="1" customWidth="1"/>
    <col min="13580" max="13580" width="10.7109375" style="206" customWidth="1"/>
    <col min="13581" max="13581" width="9.140625" style="206" bestFit="1" customWidth="1"/>
    <col min="13582" max="13582" width="10.85546875" style="206" customWidth="1"/>
    <col min="13583" max="13584" width="0" style="206" hidden="1" customWidth="1"/>
    <col min="13585" max="13585" width="10.7109375" style="206" customWidth="1"/>
    <col min="13586" max="13821" width="9.7109375" style="206"/>
    <col min="13822" max="13822" width="10.7109375" style="206" customWidth="1"/>
    <col min="13823" max="13825" width="0" style="206" hidden="1" customWidth="1"/>
    <col min="13826" max="13826" width="10.7109375" style="206" customWidth="1"/>
    <col min="13827" max="13828" width="0" style="206" hidden="1" customWidth="1"/>
    <col min="13829" max="13829" width="10.7109375" style="206" customWidth="1"/>
    <col min="13830" max="13833" width="0" style="206" hidden="1" customWidth="1"/>
    <col min="13834" max="13834" width="10.7109375" style="206" customWidth="1"/>
    <col min="13835" max="13835" width="13" style="206" bestFit="1" customWidth="1"/>
    <col min="13836" max="13836" width="10.7109375" style="206" customWidth="1"/>
    <col min="13837" max="13837" width="9.140625" style="206" bestFit="1" customWidth="1"/>
    <col min="13838" max="13838" width="10.85546875" style="206" customWidth="1"/>
    <col min="13839" max="13840" width="0" style="206" hidden="1" customWidth="1"/>
    <col min="13841" max="13841" width="10.7109375" style="206" customWidth="1"/>
    <col min="13842" max="14077" width="9.7109375" style="206"/>
    <col min="14078" max="14078" width="10.7109375" style="206" customWidth="1"/>
    <col min="14079" max="14081" width="0" style="206" hidden="1" customWidth="1"/>
    <col min="14082" max="14082" width="10.7109375" style="206" customWidth="1"/>
    <col min="14083" max="14084" width="0" style="206" hidden="1" customWidth="1"/>
    <col min="14085" max="14085" width="10.7109375" style="206" customWidth="1"/>
    <col min="14086" max="14089" width="0" style="206" hidden="1" customWidth="1"/>
    <col min="14090" max="14090" width="10.7109375" style="206" customWidth="1"/>
    <col min="14091" max="14091" width="13" style="206" bestFit="1" customWidth="1"/>
    <col min="14092" max="14092" width="10.7109375" style="206" customWidth="1"/>
    <col min="14093" max="14093" width="9.140625" style="206" bestFit="1" customWidth="1"/>
    <col min="14094" max="14094" width="10.85546875" style="206" customWidth="1"/>
    <col min="14095" max="14096" width="0" style="206" hidden="1" customWidth="1"/>
    <col min="14097" max="14097" width="10.7109375" style="206" customWidth="1"/>
    <col min="14098" max="14333" width="9.7109375" style="206"/>
    <col min="14334" max="14334" width="10.7109375" style="206" customWidth="1"/>
    <col min="14335" max="14337" width="0" style="206" hidden="1" customWidth="1"/>
    <col min="14338" max="14338" width="10.7109375" style="206" customWidth="1"/>
    <col min="14339" max="14340" width="0" style="206" hidden="1" customWidth="1"/>
    <col min="14341" max="14341" width="10.7109375" style="206" customWidth="1"/>
    <col min="14342" max="14345" width="0" style="206" hidden="1" customWidth="1"/>
    <col min="14346" max="14346" width="10.7109375" style="206" customWidth="1"/>
    <col min="14347" max="14347" width="13" style="206" bestFit="1" customWidth="1"/>
    <col min="14348" max="14348" width="10.7109375" style="206" customWidth="1"/>
    <col min="14349" max="14349" width="9.140625" style="206" bestFit="1" customWidth="1"/>
    <col min="14350" max="14350" width="10.85546875" style="206" customWidth="1"/>
    <col min="14351" max="14352" width="0" style="206" hidden="1" customWidth="1"/>
    <col min="14353" max="14353" width="10.7109375" style="206" customWidth="1"/>
    <col min="14354" max="14589" width="9.7109375" style="206"/>
    <col min="14590" max="14590" width="10.7109375" style="206" customWidth="1"/>
    <col min="14591" max="14593" width="0" style="206" hidden="1" customWidth="1"/>
    <col min="14594" max="14594" width="10.7109375" style="206" customWidth="1"/>
    <col min="14595" max="14596" width="0" style="206" hidden="1" customWidth="1"/>
    <col min="14597" max="14597" width="10.7109375" style="206" customWidth="1"/>
    <col min="14598" max="14601" width="0" style="206" hidden="1" customWidth="1"/>
    <col min="14602" max="14602" width="10.7109375" style="206" customWidth="1"/>
    <col min="14603" max="14603" width="13" style="206" bestFit="1" customWidth="1"/>
    <col min="14604" max="14604" width="10.7109375" style="206" customWidth="1"/>
    <col min="14605" max="14605" width="9.140625" style="206" bestFit="1" customWidth="1"/>
    <col min="14606" max="14606" width="10.85546875" style="206" customWidth="1"/>
    <col min="14607" max="14608" width="0" style="206" hidden="1" customWidth="1"/>
    <col min="14609" max="14609" width="10.7109375" style="206" customWidth="1"/>
    <col min="14610" max="14845" width="9.7109375" style="206"/>
    <col min="14846" max="14846" width="10.7109375" style="206" customWidth="1"/>
    <col min="14847" max="14849" width="0" style="206" hidden="1" customWidth="1"/>
    <col min="14850" max="14850" width="10.7109375" style="206" customWidth="1"/>
    <col min="14851" max="14852" width="0" style="206" hidden="1" customWidth="1"/>
    <col min="14853" max="14853" width="10.7109375" style="206" customWidth="1"/>
    <col min="14854" max="14857" width="0" style="206" hidden="1" customWidth="1"/>
    <col min="14858" max="14858" width="10.7109375" style="206" customWidth="1"/>
    <col min="14859" max="14859" width="13" style="206" bestFit="1" customWidth="1"/>
    <col min="14860" max="14860" width="10.7109375" style="206" customWidth="1"/>
    <col min="14861" max="14861" width="9.140625" style="206" bestFit="1" customWidth="1"/>
    <col min="14862" max="14862" width="10.85546875" style="206" customWidth="1"/>
    <col min="14863" max="14864" width="0" style="206" hidden="1" customWidth="1"/>
    <col min="14865" max="14865" width="10.7109375" style="206" customWidth="1"/>
    <col min="14866" max="15101" width="9.7109375" style="206"/>
    <col min="15102" max="15102" width="10.7109375" style="206" customWidth="1"/>
    <col min="15103" max="15105" width="0" style="206" hidden="1" customWidth="1"/>
    <col min="15106" max="15106" width="10.7109375" style="206" customWidth="1"/>
    <col min="15107" max="15108" width="0" style="206" hidden="1" customWidth="1"/>
    <col min="15109" max="15109" width="10.7109375" style="206" customWidth="1"/>
    <col min="15110" max="15113" width="0" style="206" hidden="1" customWidth="1"/>
    <col min="15114" max="15114" width="10.7109375" style="206" customWidth="1"/>
    <col min="15115" max="15115" width="13" style="206" bestFit="1" customWidth="1"/>
    <col min="15116" max="15116" width="10.7109375" style="206" customWidth="1"/>
    <col min="15117" max="15117" width="9.140625" style="206" bestFit="1" customWidth="1"/>
    <col min="15118" max="15118" width="10.85546875" style="206" customWidth="1"/>
    <col min="15119" max="15120" width="0" style="206" hidden="1" customWidth="1"/>
    <col min="15121" max="15121" width="10.7109375" style="206" customWidth="1"/>
    <col min="15122" max="15357" width="9.7109375" style="206"/>
    <col min="15358" max="15358" width="10.7109375" style="206" customWidth="1"/>
    <col min="15359" max="15361" width="0" style="206" hidden="1" customWidth="1"/>
    <col min="15362" max="15362" width="10.7109375" style="206" customWidth="1"/>
    <col min="15363" max="15364" width="0" style="206" hidden="1" customWidth="1"/>
    <col min="15365" max="15365" width="10.7109375" style="206" customWidth="1"/>
    <col min="15366" max="15369" width="0" style="206" hidden="1" customWidth="1"/>
    <col min="15370" max="15370" width="10.7109375" style="206" customWidth="1"/>
    <col min="15371" max="15371" width="13" style="206" bestFit="1" customWidth="1"/>
    <col min="15372" max="15372" width="10.7109375" style="206" customWidth="1"/>
    <col min="15373" max="15373" width="9.140625" style="206" bestFit="1" customWidth="1"/>
    <col min="15374" max="15374" width="10.85546875" style="206" customWidth="1"/>
    <col min="15375" max="15376" width="0" style="206" hidden="1" customWidth="1"/>
    <col min="15377" max="15377" width="10.7109375" style="206" customWidth="1"/>
    <col min="15378" max="15613" width="9.7109375" style="206"/>
    <col min="15614" max="15614" width="10.7109375" style="206" customWidth="1"/>
    <col min="15615" max="15617" width="0" style="206" hidden="1" customWidth="1"/>
    <col min="15618" max="15618" width="10.7109375" style="206" customWidth="1"/>
    <col min="15619" max="15620" width="0" style="206" hidden="1" customWidth="1"/>
    <col min="15621" max="15621" width="10.7109375" style="206" customWidth="1"/>
    <col min="15622" max="15625" width="0" style="206" hidden="1" customWidth="1"/>
    <col min="15626" max="15626" width="10.7109375" style="206" customWidth="1"/>
    <col min="15627" max="15627" width="13" style="206" bestFit="1" customWidth="1"/>
    <col min="15628" max="15628" width="10.7109375" style="206" customWidth="1"/>
    <col min="15629" max="15629" width="9.140625" style="206" bestFit="1" customWidth="1"/>
    <col min="15630" max="15630" width="10.85546875" style="206" customWidth="1"/>
    <col min="15631" max="15632" width="0" style="206" hidden="1" customWidth="1"/>
    <col min="15633" max="15633" width="10.7109375" style="206" customWidth="1"/>
    <col min="15634" max="15869" width="9.7109375" style="206"/>
    <col min="15870" max="15870" width="10.7109375" style="206" customWidth="1"/>
    <col min="15871" max="15873" width="0" style="206" hidden="1" customWidth="1"/>
    <col min="15874" max="15874" width="10.7109375" style="206" customWidth="1"/>
    <col min="15875" max="15876" width="0" style="206" hidden="1" customWidth="1"/>
    <col min="15877" max="15877" width="10.7109375" style="206" customWidth="1"/>
    <col min="15878" max="15881" width="0" style="206" hidden="1" customWidth="1"/>
    <col min="15882" max="15882" width="10.7109375" style="206" customWidth="1"/>
    <col min="15883" max="15883" width="13" style="206" bestFit="1" customWidth="1"/>
    <col min="15884" max="15884" width="10.7109375" style="206" customWidth="1"/>
    <col min="15885" max="15885" width="9.140625" style="206" bestFit="1" customWidth="1"/>
    <col min="15886" max="15886" width="10.85546875" style="206" customWidth="1"/>
    <col min="15887" max="15888" width="0" style="206" hidden="1" customWidth="1"/>
    <col min="15889" max="15889" width="10.7109375" style="206" customWidth="1"/>
    <col min="15890" max="16125" width="9.7109375" style="206"/>
    <col min="16126" max="16126" width="10.7109375" style="206" customWidth="1"/>
    <col min="16127" max="16129" width="0" style="206" hidden="1" customWidth="1"/>
    <col min="16130" max="16130" width="10.7109375" style="206" customWidth="1"/>
    <col min="16131" max="16132" width="0" style="206" hidden="1" customWidth="1"/>
    <col min="16133" max="16133" width="10.7109375" style="206" customWidth="1"/>
    <col min="16134" max="16137" width="0" style="206" hidden="1" customWidth="1"/>
    <col min="16138" max="16138" width="10.7109375" style="206" customWidth="1"/>
    <col min="16139" max="16139" width="13" style="206" bestFit="1" customWidth="1"/>
    <col min="16140" max="16140" width="10.7109375" style="206" customWidth="1"/>
    <col min="16141" max="16141" width="9.140625" style="206" bestFit="1" customWidth="1"/>
    <col min="16142" max="16142" width="10.85546875" style="206" customWidth="1"/>
    <col min="16143" max="16144" width="0" style="206" hidden="1" customWidth="1"/>
    <col min="16145" max="16145" width="10.7109375" style="206" customWidth="1"/>
    <col min="16146" max="16384" width="9.7109375" style="206"/>
  </cols>
  <sheetData>
    <row r="1" spans="1:21" ht="15.75">
      <c r="A1" s="204" t="s">
        <v>139</v>
      </c>
      <c r="B1" s="205"/>
      <c r="C1" s="205"/>
      <c r="D1" s="205"/>
      <c r="E1" s="205"/>
      <c r="F1" s="205"/>
      <c r="G1" s="205"/>
      <c r="H1" s="205"/>
    </row>
    <row r="2" spans="1:21" ht="15">
      <c r="A2" s="207"/>
      <c r="B2" s="205"/>
      <c r="C2" s="205"/>
      <c r="D2" s="205"/>
      <c r="E2" s="205"/>
      <c r="F2" s="205"/>
      <c r="G2" s="205"/>
      <c r="H2" s="205"/>
    </row>
    <row r="3" spans="1:21">
      <c r="A3" s="208"/>
      <c r="B3" s="209"/>
      <c r="C3" s="209"/>
      <c r="D3" s="209"/>
      <c r="E3" s="210" t="s">
        <v>140</v>
      </c>
      <c r="F3" s="210"/>
      <c r="G3" s="210"/>
      <c r="H3" s="210"/>
      <c r="I3" s="210"/>
      <c r="J3" s="210"/>
      <c r="K3" s="210"/>
      <c r="L3" s="210"/>
      <c r="M3" s="210"/>
      <c r="N3" s="210"/>
      <c r="O3" s="211" t="s">
        <v>141</v>
      </c>
      <c r="P3" s="210"/>
      <c r="Q3" s="210"/>
      <c r="R3" s="212"/>
      <c r="S3" s="212"/>
      <c r="T3" s="213"/>
    </row>
    <row r="4" spans="1:21">
      <c r="A4" s="214"/>
      <c r="B4" s="215"/>
      <c r="C4" s="216">
        <v>500</v>
      </c>
      <c r="D4" s="217">
        <v>2500</v>
      </c>
      <c r="E4" s="217" t="s">
        <v>142</v>
      </c>
      <c r="F4" s="217">
        <v>5000</v>
      </c>
      <c r="G4" s="217">
        <v>10000</v>
      </c>
      <c r="H4" s="217" t="s">
        <v>26</v>
      </c>
      <c r="I4" s="217">
        <v>50000</v>
      </c>
      <c r="J4" s="217">
        <v>100000</v>
      </c>
      <c r="K4" s="217">
        <v>25000</v>
      </c>
      <c r="L4" s="215"/>
      <c r="M4" s="215"/>
      <c r="N4" s="208"/>
      <c r="O4" s="218" t="s">
        <v>142</v>
      </c>
      <c r="P4" s="217" t="s">
        <v>26</v>
      </c>
      <c r="Q4" s="219"/>
      <c r="R4" s="217">
        <v>50000</v>
      </c>
      <c r="S4" s="217">
        <v>100000</v>
      </c>
      <c r="T4" s="219"/>
    </row>
    <row r="5" spans="1:21" ht="14.25">
      <c r="A5" s="220" t="s">
        <v>143</v>
      </c>
      <c r="B5" s="221" t="s">
        <v>22</v>
      </c>
      <c r="C5" s="221" t="s">
        <v>22</v>
      </c>
      <c r="D5" s="221" t="s">
        <v>22</v>
      </c>
      <c r="E5" s="221" t="s">
        <v>22</v>
      </c>
      <c r="F5" s="221" t="s">
        <v>22</v>
      </c>
      <c r="G5" s="221" t="s">
        <v>22</v>
      </c>
      <c r="H5" s="221" t="s">
        <v>22</v>
      </c>
      <c r="I5" s="221" t="s">
        <v>22</v>
      </c>
      <c r="J5" s="221" t="s">
        <v>22</v>
      </c>
      <c r="K5" s="221" t="s">
        <v>22</v>
      </c>
      <c r="L5" s="222" t="s">
        <v>144</v>
      </c>
      <c r="M5" s="222" t="s">
        <v>27</v>
      </c>
      <c r="N5" s="220" t="s">
        <v>145</v>
      </c>
      <c r="O5" s="223" t="s">
        <v>22</v>
      </c>
      <c r="P5" s="221" t="s">
        <v>22</v>
      </c>
      <c r="Q5" s="224" t="s">
        <v>27</v>
      </c>
      <c r="R5" s="221" t="s">
        <v>22</v>
      </c>
      <c r="S5" s="221" t="s">
        <v>22</v>
      </c>
      <c r="T5" s="214" t="s">
        <v>25</v>
      </c>
    </row>
    <row r="6" spans="1:21" ht="14.25">
      <c r="A6" s="225"/>
      <c r="B6" s="226" t="s">
        <v>146</v>
      </c>
      <c r="C6" s="226" t="s">
        <v>147</v>
      </c>
      <c r="D6" s="226" t="s">
        <v>148</v>
      </c>
      <c r="E6" s="226" t="s">
        <v>26</v>
      </c>
      <c r="F6" s="226" t="s">
        <v>149</v>
      </c>
      <c r="G6" s="226" t="s">
        <v>150</v>
      </c>
      <c r="H6" s="226" t="s">
        <v>27</v>
      </c>
      <c r="I6" s="226" t="s">
        <v>144</v>
      </c>
      <c r="J6" s="226" t="s">
        <v>151</v>
      </c>
      <c r="K6" s="226" t="s">
        <v>144</v>
      </c>
      <c r="L6" s="227" t="s">
        <v>29</v>
      </c>
      <c r="M6" s="227" t="s">
        <v>29</v>
      </c>
      <c r="N6" s="228"/>
      <c r="O6" s="229" t="s">
        <v>26</v>
      </c>
      <c r="P6" s="226" t="s">
        <v>27</v>
      </c>
      <c r="Q6" s="230" t="s">
        <v>29</v>
      </c>
      <c r="R6" s="226" t="s">
        <v>144</v>
      </c>
      <c r="S6" s="226" t="s">
        <v>151</v>
      </c>
      <c r="T6" s="228"/>
    </row>
    <row r="7" spans="1:21" ht="20.100000000000001" customHeight="1">
      <c r="A7" s="208"/>
      <c r="B7" s="231"/>
      <c r="C7" s="232"/>
      <c r="D7" s="231"/>
      <c r="E7" s="231" t="s">
        <v>152</v>
      </c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3"/>
      <c r="R7" s="233"/>
      <c r="S7" s="233"/>
      <c r="T7" s="208"/>
    </row>
    <row r="8" spans="1:21">
      <c r="A8" s="234" t="s">
        <v>50</v>
      </c>
      <c r="B8" s="235"/>
      <c r="C8" s="235">
        <v>341</v>
      </c>
      <c r="D8" s="235">
        <v>310</v>
      </c>
      <c r="E8" s="236">
        <f>SUM(B8:D8)</f>
        <v>651</v>
      </c>
      <c r="F8" s="236">
        <v>441</v>
      </c>
      <c r="G8" s="236">
        <v>666</v>
      </c>
      <c r="H8" s="236">
        <f>SUM(F8:G8)</f>
        <v>1107</v>
      </c>
      <c r="I8" s="236"/>
      <c r="J8" s="236"/>
      <c r="K8" s="236">
        <v>1204</v>
      </c>
      <c r="L8" s="236">
        <v>1888</v>
      </c>
      <c r="M8" s="236">
        <f>SUM(K8:L8)</f>
        <v>3092</v>
      </c>
      <c r="N8" s="237">
        <f>SUM(E8,H8,M8)</f>
        <v>4850</v>
      </c>
      <c r="O8" s="238">
        <f>(E8/N8)*100</f>
        <v>13.422680412371136</v>
      </c>
      <c r="P8" s="238">
        <f>(H8/N8)*100</f>
        <v>22.824742268041238</v>
      </c>
      <c r="Q8" s="239">
        <f>(M8/N8)*100</f>
        <v>63.75257731958763</v>
      </c>
      <c r="R8" s="240"/>
      <c r="S8" s="240"/>
      <c r="T8" s="241"/>
      <c r="U8" s="242"/>
    </row>
    <row r="9" spans="1:21" hidden="1">
      <c r="A9" s="234" t="s">
        <v>153</v>
      </c>
      <c r="B9" s="235"/>
      <c r="C9" s="235">
        <v>337</v>
      </c>
      <c r="D9" s="235">
        <v>281</v>
      </c>
      <c r="E9" s="236">
        <f t="shared" ref="E9:E24" si="0">SUM(B9:D9)</f>
        <v>618</v>
      </c>
      <c r="F9" s="236">
        <v>472</v>
      </c>
      <c r="G9" s="236">
        <v>718</v>
      </c>
      <c r="H9" s="236">
        <f t="shared" ref="H9:H39" si="1">SUM(F9:G9)</f>
        <v>1190</v>
      </c>
      <c r="I9" s="236"/>
      <c r="J9" s="236"/>
      <c r="K9" s="236">
        <v>1224</v>
      </c>
      <c r="L9" s="236">
        <v>1957</v>
      </c>
      <c r="M9" s="236">
        <f t="shared" ref="M9:M39" si="2">SUM(K9:L9)</f>
        <v>3181</v>
      </c>
      <c r="N9" s="237">
        <f>SUM(E9,H9,M9)</f>
        <v>4989</v>
      </c>
      <c r="O9" s="238">
        <f>(E9/N9)*100</f>
        <v>12.38725195429946</v>
      </c>
      <c r="P9" s="238">
        <f>(H9/N9)*100</f>
        <v>23.85247544598116</v>
      </c>
      <c r="Q9" s="239">
        <f t="shared" ref="Q9:Q39" si="3">(M9/N9)*100</f>
        <v>63.760272599719379</v>
      </c>
      <c r="R9" s="240"/>
      <c r="S9" s="240"/>
      <c r="T9" s="241"/>
      <c r="U9" s="242"/>
    </row>
    <row r="10" spans="1:21">
      <c r="A10" s="234" t="s">
        <v>154</v>
      </c>
      <c r="B10" s="235"/>
      <c r="C10" s="235">
        <v>355</v>
      </c>
      <c r="D10" s="235">
        <v>303</v>
      </c>
      <c r="E10" s="236">
        <f t="shared" si="0"/>
        <v>658</v>
      </c>
      <c r="F10" s="236">
        <v>422</v>
      </c>
      <c r="G10" s="236">
        <v>752</v>
      </c>
      <c r="H10" s="236">
        <f t="shared" si="1"/>
        <v>1174</v>
      </c>
      <c r="I10" s="236"/>
      <c r="J10" s="236"/>
      <c r="K10" s="236">
        <v>1258</v>
      </c>
      <c r="L10" s="236">
        <v>2100</v>
      </c>
      <c r="M10" s="236">
        <f t="shared" si="2"/>
        <v>3358</v>
      </c>
      <c r="N10" s="237">
        <f>SUM(E10,H10,M10)</f>
        <v>5190</v>
      </c>
      <c r="O10" s="238">
        <f>(E10/N10)*100</f>
        <v>12.678227360308286</v>
      </c>
      <c r="P10" s="238">
        <f>(H10/N10)*100</f>
        <v>22.620423892100192</v>
      </c>
      <c r="Q10" s="239">
        <f t="shared" si="3"/>
        <v>64.701348747591524</v>
      </c>
      <c r="R10" s="240"/>
      <c r="S10" s="240"/>
      <c r="T10" s="241"/>
      <c r="U10" s="242"/>
    </row>
    <row r="11" spans="1:21">
      <c r="A11" s="234" t="s">
        <v>155</v>
      </c>
      <c r="B11" s="235"/>
      <c r="C11" s="235">
        <v>331</v>
      </c>
      <c r="D11" s="235">
        <v>240</v>
      </c>
      <c r="E11" s="236">
        <f t="shared" si="0"/>
        <v>571</v>
      </c>
      <c r="F11" s="236">
        <v>494</v>
      </c>
      <c r="G11" s="236">
        <v>858</v>
      </c>
      <c r="H11" s="236">
        <f t="shared" si="1"/>
        <v>1352</v>
      </c>
      <c r="I11" s="236"/>
      <c r="J11" s="236"/>
      <c r="K11" s="236">
        <v>1054</v>
      </c>
      <c r="L11" s="236">
        <v>2409</v>
      </c>
      <c r="M11" s="236">
        <f t="shared" si="2"/>
        <v>3463</v>
      </c>
      <c r="N11" s="237">
        <f>SUM(E11,H11,M11)</f>
        <v>5386</v>
      </c>
      <c r="O11" s="238">
        <f>(E11/N11)*100</f>
        <v>10.601559598960266</v>
      </c>
      <c r="P11" s="238">
        <f>(H11/N11)*100</f>
        <v>25.102116598588935</v>
      </c>
      <c r="Q11" s="239">
        <f t="shared" si="3"/>
        <v>64.2963238024508</v>
      </c>
      <c r="R11" s="240"/>
      <c r="S11" s="240"/>
      <c r="T11" s="241"/>
      <c r="U11" s="242"/>
    </row>
    <row r="12" spans="1:21">
      <c r="A12" s="234" t="s">
        <v>156</v>
      </c>
      <c r="B12" s="235"/>
      <c r="C12" s="235">
        <v>328</v>
      </c>
      <c r="D12" s="235">
        <v>250</v>
      </c>
      <c r="E12" s="236">
        <f t="shared" si="0"/>
        <v>578</v>
      </c>
      <c r="F12" s="236">
        <v>474</v>
      </c>
      <c r="G12" s="236">
        <v>885</v>
      </c>
      <c r="H12" s="236">
        <f t="shared" si="1"/>
        <v>1359</v>
      </c>
      <c r="I12" s="236"/>
      <c r="J12" s="236"/>
      <c r="K12" s="236">
        <v>1186</v>
      </c>
      <c r="L12" s="236">
        <v>2425</v>
      </c>
      <c r="M12" s="236">
        <f t="shared" si="2"/>
        <v>3611</v>
      </c>
      <c r="N12" s="237">
        <f>SUM(E12,H12,M12)</f>
        <v>5548</v>
      </c>
      <c r="O12" s="238">
        <f>(E12/N12)*100</f>
        <v>10.418168709444844</v>
      </c>
      <c r="P12" s="238">
        <f>(H12/N12)*100</f>
        <v>24.495313626532084</v>
      </c>
      <c r="Q12" s="239">
        <f t="shared" si="3"/>
        <v>65.086517664023063</v>
      </c>
      <c r="R12" s="240"/>
      <c r="S12" s="240"/>
      <c r="T12" s="241"/>
      <c r="U12" s="242"/>
    </row>
    <row r="13" spans="1:21">
      <c r="A13" s="243"/>
      <c r="B13" s="244"/>
      <c r="C13" s="244"/>
      <c r="D13" s="244"/>
      <c r="E13" s="245"/>
      <c r="F13" s="245"/>
      <c r="G13" s="245"/>
      <c r="H13" s="236"/>
      <c r="I13" s="236"/>
      <c r="J13" s="236"/>
      <c r="K13" s="245"/>
      <c r="L13" s="245"/>
      <c r="M13" s="236"/>
      <c r="N13" s="246"/>
      <c r="O13" s="238"/>
      <c r="P13" s="238"/>
      <c r="Q13" s="239"/>
      <c r="R13" s="240"/>
      <c r="S13" s="240"/>
      <c r="T13" s="247"/>
      <c r="U13" s="242"/>
    </row>
    <row r="14" spans="1:21">
      <c r="A14" s="234" t="s">
        <v>51</v>
      </c>
      <c r="B14" s="235"/>
      <c r="C14" s="235">
        <v>309</v>
      </c>
      <c r="D14" s="235">
        <v>253</v>
      </c>
      <c r="E14" s="236">
        <f t="shared" si="0"/>
        <v>562</v>
      </c>
      <c r="F14" s="236">
        <v>451</v>
      </c>
      <c r="G14" s="236">
        <v>866</v>
      </c>
      <c r="H14" s="236">
        <f t="shared" si="1"/>
        <v>1317</v>
      </c>
      <c r="I14" s="236"/>
      <c r="J14" s="236"/>
      <c r="K14" s="236">
        <v>1194</v>
      </c>
      <c r="L14" s="236">
        <v>2562</v>
      </c>
      <c r="M14" s="236">
        <f t="shared" si="2"/>
        <v>3756</v>
      </c>
      <c r="N14" s="237">
        <f>SUM(E14,H14,M14)</f>
        <v>5635</v>
      </c>
      <c r="O14" s="238">
        <f>(E14/N14)*100</f>
        <v>9.9733806566104697</v>
      </c>
      <c r="P14" s="238">
        <f>(H14/N14)*100</f>
        <v>23.371783496007097</v>
      </c>
      <c r="Q14" s="239">
        <f t="shared" si="3"/>
        <v>66.654835847382429</v>
      </c>
      <c r="R14" s="240"/>
      <c r="S14" s="240"/>
      <c r="T14" s="241"/>
      <c r="U14" s="242"/>
    </row>
    <row r="15" spans="1:21" hidden="1">
      <c r="A15" s="234" t="s">
        <v>52</v>
      </c>
      <c r="B15" s="235"/>
      <c r="C15" s="235">
        <v>321</v>
      </c>
      <c r="D15" s="235">
        <v>231</v>
      </c>
      <c r="E15" s="236">
        <f t="shared" si="0"/>
        <v>552</v>
      </c>
      <c r="F15" s="236">
        <v>411</v>
      </c>
      <c r="G15" s="236">
        <v>1011</v>
      </c>
      <c r="H15" s="236">
        <f t="shared" si="1"/>
        <v>1422</v>
      </c>
      <c r="I15" s="236"/>
      <c r="J15" s="236"/>
      <c r="K15" s="236">
        <v>1217</v>
      </c>
      <c r="L15" s="236">
        <v>2342</v>
      </c>
      <c r="M15" s="236">
        <f t="shared" si="2"/>
        <v>3559</v>
      </c>
      <c r="N15" s="237">
        <f>SUM(E15,H15,M15)</f>
        <v>5533</v>
      </c>
      <c r="O15" s="238">
        <f>(E15/N15)*100</f>
        <v>9.9765046087113696</v>
      </c>
      <c r="P15" s="238">
        <f>(H15/N15)*100</f>
        <v>25.700343394180376</v>
      </c>
      <c r="Q15" s="239">
        <f t="shared" si="3"/>
        <v>64.323151997108269</v>
      </c>
      <c r="R15" s="240"/>
      <c r="S15" s="240"/>
      <c r="T15" s="241"/>
      <c r="U15" s="242"/>
    </row>
    <row r="16" spans="1:21">
      <c r="A16" s="234" t="s">
        <v>53</v>
      </c>
      <c r="B16" s="235"/>
      <c r="C16" s="235">
        <v>327</v>
      </c>
      <c r="D16" s="235">
        <v>204</v>
      </c>
      <c r="E16" s="236">
        <f t="shared" si="0"/>
        <v>531</v>
      </c>
      <c r="F16" s="236">
        <v>449</v>
      </c>
      <c r="G16" s="236">
        <v>933</v>
      </c>
      <c r="H16" s="236">
        <f t="shared" si="1"/>
        <v>1382</v>
      </c>
      <c r="I16" s="236"/>
      <c r="J16" s="236"/>
      <c r="K16" s="236">
        <v>1284</v>
      </c>
      <c r="L16" s="236">
        <v>1949</v>
      </c>
      <c r="M16" s="236">
        <f t="shared" si="2"/>
        <v>3233</v>
      </c>
      <c r="N16" s="237">
        <f>SUM(E16,H16,M16)</f>
        <v>5146</v>
      </c>
      <c r="O16" s="238">
        <f>(E16/N16)*100</f>
        <v>10.318694131364166</v>
      </c>
      <c r="P16" s="238">
        <f>(H16/N16)*100</f>
        <v>26.855810338126702</v>
      </c>
      <c r="Q16" s="239">
        <f t="shared" si="3"/>
        <v>62.825495530509137</v>
      </c>
      <c r="R16" s="240"/>
      <c r="S16" s="240"/>
      <c r="T16" s="241"/>
      <c r="U16" s="242"/>
    </row>
    <row r="17" spans="1:21">
      <c r="A17" s="243"/>
      <c r="B17" s="244"/>
      <c r="C17" s="244"/>
      <c r="D17" s="244"/>
      <c r="E17" s="245"/>
      <c r="F17" s="245"/>
      <c r="G17" s="245"/>
      <c r="H17" s="236"/>
      <c r="I17" s="236"/>
      <c r="J17" s="236"/>
      <c r="K17" s="245"/>
      <c r="L17" s="245"/>
      <c r="M17" s="236"/>
      <c r="N17" s="246"/>
      <c r="O17" s="238"/>
      <c r="P17" s="238"/>
      <c r="Q17" s="239"/>
      <c r="R17" s="240"/>
      <c r="S17" s="240"/>
      <c r="T17" s="241"/>
      <c r="U17" s="242"/>
    </row>
    <row r="18" spans="1:21" ht="14.25">
      <c r="A18" s="234" t="s">
        <v>157</v>
      </c>
      <c r="B18" s="235"/>
      <c r="C18" s="235">
        <v>327</v>
      </c>
      <c r="D18" s="235">
        <v>204</v>
      </c>
      <c r="E18" s="236">
        <f t="shared" si="0"/>
        <v>531</v>
      </c>
      <c r="F18" s="236">
        <v>449</v>
      </c>
      <c r="G18" s="236">
        <v>933</v>
      </c>
      <c r="H18" s="236">
        <f t="shared" si="1"/>
        <v>1382</v>
      </c>
      <c r="I18" s="236"/>
      <c r="J18" s="236"/>
      <c r="K18" s="236">
        <v>1284</v>
      </c>
      <c r="L18" s="236">
        <v>1949</v>
      </c>
      <c r="M18" s="236">
        <f t="shared" si="2"/>
        <v>3233</v>
      </c>
      <c r="N18" s="237">
        <f>SUM(E18,H18,M18)</f>
        <v>5146</v>
      </c>
      <c r="O18" s="238">
        <f>(E18/N18)*100</f>
        <v>10.318694131364166</v>
      </c>
      <c r="P18" s="238">
        <f>(H18/N18)*100</f>
        <v>26.855810338126702</v>
      </c>
      <c r="Q18" s="239">
        <f t="shared" si="3"/>
        <v>62.825495530509137</v>
      </c>
      <c r="R18" s="240"/>
      <c r="S18" s="240"/>
      <c r="T18" s="241"/>
      <c r="U18" s="242"/>
    </row>
    <row r="19" spans="1:21" hidden="1">
      <c r="A19" s="234" t="s">
        <v>54</v>
      </c>
      <c r="B19" s="235"/>
      <c r="C19" s="235">
        <v>314</v>
      </c>
      <c r="D19" s="235">
        <v>179</v>
      </c>
      <c r="E19" s="236">
        <f t="shared" si="0"/>
        <v>493</v>
      </c>
      <c r="F19" s="236">
        <v>439</v>
      </c>
      <c r="G19" s="236">
        <v>827</v>
      </c>
      <c r="H19" s="236">
        <f t="shared" si="1"/>
        <v>1266</v>
      </c>
      <c r="I19" s="236"/>
      <c r="J19" s="236"/>
      <c r="K19" s="236">
        <v>1280</v>
      </c>
      <c r="L19" s="236">
        <v>2246</v>
      </c>
      <c r="M19" s="236">
        <f t="shared" si="2"/>
        <v>3526</v>
      </c>
      <c r="N19" s="237">
        <f>SUM(E19,H19,M19)</f>
        <v>5285</v>
      </c>
      <c r="O19" s="238">
        <f>(E19/N19)*100</f>
        <v>9.3282876064333013</v>
      </c>
      <c r="P19" s="238">
        <f>(H19/N19)*100</f>
        <v>23.954588457899717</v>
      </c>
      <c r="Q19" s="239">
        <f t="shared" si="3"/>
        <v>66.717123935666976</v>
      </c>
      <c r="R19" s="240"/>
      <c r="S19" s="240"/>
      <c r="T19" s="241"/>
      <c r="U19" s="242"/>
    </row>
    <row r="20" spans="1:21" hidden="1">
      <c r="A20" s="234" t="s">
        <v>55</v>
      </c>
      <c r="B20" s="235"/>
      <c r="C20" s="235">
        <v>305</v>
      </c>
      <c r="D20" s="235">
        <v>191</v>
      </c>
      <c r="E20" s="236">
        <f t="shared" si="0"/>
        <v>496</v>
      </c>
      <c r="F20" s="236">
        <v>466</v>
      </c>
      <c r="G20" s="236">
        <v>811</v>
      </c>
      <c r="H20" s="236">
        <f t="shared" si="1"/>
        <v>1277</v>
      </c>
      <c r="I20" s="236"/>
      <c r="J20" s="236"/>
      <c r="K20" s="236">
        <v>1331</v>
      </c>
      <c r="L20" s="236">
        <v>2280</v>
      </c>
      <c r="M20" s="236">
        <f t="shared" si="2"/>
        <v>3611</v>
      </c>
      <c r="N20" s="237">
        <f>SUM(E20,H20,M20)</f>
        <v>5384</v>
      </c>
      <c r="O20" s="238">
        <f>(E20/N20)*100</f>
        <v>9.212481426448738</v>
      </c>
      <c r="P20" s="238">
        <f>(H20/N20)*100</f>
        <v>23.718424962852897</v>
      </c>
      <c r="Q20" s="239">
        <f t="shared" si="3"/>
        <v>67.06909361069836</v>
      </c>
      <c r="R20" s="240"/>
      <c r="S20" s="240"/>
      <c r="T20" s="241"/>
      <c r="U20" s="242"/>
    </row>
    <row r="21" spans="1:21">
      <c r="A21" s="243"/>
      <c r="B21" s="244"/>
      <c r="C21" s="244"/>
      <c r="D21" s="244"/>
      <c r="E21" s="245"/>
      <c r="F21" s="245"/>
      <c r="G21" s="245"/>
      <c r="H21" s="236"/>
      <c r="I21" s="236"/>
      <c r="J21" s="236"/>
      <c r="K21" s="245"/>
      <c r="L21" s="245"/>
      <c r="M21" s="236"/>
      <c r="N21" s="246"/>
      <c r="O21" s="238"/>
      <c r="P21" s="238"/>
      <c r="Q21" s="239"/>
      <c r="R21" s="240"/>
      <c r="S21" s="240"/>
      <c r="T21" s="241"/>
      <c r="U21" s="242"/>
    </row>
    <row r="22" spans="1:21">
      <c r="A22" s="234" t="s">
        <v>56</v>
      </c>
      <c r="B22" s="235"/>
      <c r="C22" s="235">
        <v>284</v>
      </c>
      <c r="D22" s="235">
        <v>192</v>
      </c>
      <c r="E22" s="236">
        <f t="shared" si="0"/>
        <v>476</v>
      </c>
      <c r="F22" s="236">
        <v>443</v>
      </c>
      <c r="G22" s="236">
        <v>829</v>
      </c>
      <c r="H22" s="236">
        <f t="shared" si="1"/>
        <v>1272</v>
      </c>
      <c r="I22" s="236"/>
      <c r="J22" s="236"/>
      <c r="K22" s="236">
        <v>1113</v>
      </c>
      <c r="L22" s="236">
        <v>2508</v>
      </c>
      <c r="M22" s="236">
        <f t="shared" si="2"/>
        <v>3621</v>
      </c>
      <c r="N22" s="237">
        <f t="shared" ref="N22:N27" si="4">SUM(E22,H22,M22)</f>
        <v>5369</v>
      </c>
      <c r="O22" s="238">
        <f t="shared" ref="O22:O27" si="5">(E22/N22)*100</f>
        <v>8.865710560625816</v>
      </c>
      <c r="P22" s="238">
        <f t="shared" ref="P22:P27" si="6">(H22/N22)*100</f>
        <v>23.691562674613522</v>
      </c>
      <c r="Q22" s="239">
        <f t="shared" si="3"/>
        <v>67.442726764760664</v>
      </c>
      <c r="R22" s="240"/>
      <c r="S22" s="240"/>
      <c r="T22" s="241"/>
      <c r="U22" s="242"/>
    </row>
    <row r="23" spans="1:21">
      <c r="A23" s="234" t="s">
        <v>57</v>
      </c>
      <c r="B23" s="235"/>
      <c r="C23" s="235">
        <v>257</v>
      </c>
      <c r="D23" s="235">
        <v>213</v>
      </c>
      <c r="E23" s="236">
        <f t="shared" si="0"/>
        <v>470</v>
      </c>
      <c r="F23" s="236">
        <v>425</v>
      </c>
      <c r="G23" s="236">
        <v>763</v>
      </c>
      <c r="H23" s="236">
        <f t="shared" si="1"/>
        <v>1188</v>
      </c>
      <c r="I23" s="236"/>
      <c r="J23" s="236"/>
      <c r="K23" s="236">
        <v>1327</v>
      </c>
      <c r="L23" s="236">
        <v>2165</v>
      </c>
      <c r="M23" s="236">
        <f t="shared" si="2"/>
        <v>3492</v>
      </c>
      <c r="N23" s="237">
        <f t="shared" si="4"/>
        <v>5150</v>
      </c>
      <c r="O23" s="238">
        <f t="shared" si="5"/>
        <v>9.1262135922330092</v>
      </c>
      <c r="P23" s="238">
        <f t="shared" si="6"/>
        <v>23.067961165048544</v>
      </c>
      <c r="Q23" s="239">
        <f t="shared" si="3"/>
        <v>67.805825242718441</v>
      </c>
      <c r="R23" s="240"/>
      <c r="S23" s="240"/>
      <c r="T23" s="241"/>
      <c r="U23" s="242"/>
    </row>
    <row r="24" spans="1:21">
      <c r="A24" s="234" t="s">
        <v>58</v>
      </c>
      <c r="B24" s="235"/>
      <c r="C24" s="235">
        <v>264</v>
      </c>
      <c r="D24" s="235">
        <v>208</v>
      </c>
      <c r="E24" s="236">
        <f t="shared" si="0"/>
        <v>472</v>
      </c>
      <c r="F24" s="236">
        <v>382</v>
      </c>
      <c r="G24" s="236">
        <v>866</v>
      </c>
      <c r="H24" s="236">
        <f t="shared" si="1"/>
        <v>1248</v>
      </c>
      <c r="I24" s="236"/>
      <c r="J24" s="236"/>
      <c r="K24" s="236">
        <v>977</v>
      </c>
      <c r="L24" s="236">
        <v>2731</v>
      </c>
      <c r="M24" s="236">
        <f t="shared" si="2"/>
        <v>3708</v>
      </c>
      <c r="N24" s="237">
        <f t="shared" si="4"/>
        <v>5428</v>
      </c>
      <c r="O24" s="238">
        <f t="shared" si="5"/>
        <v>8.695652173913043</v>
      </c>
      <c r="P24" s="238">
        <f t="shared" si="6"/>
        <v>22.991893883566693</v>
      </c>
      <c r="Q24" s="239">
        <f t="shared" si="3"/>
        <v>68.312453942520264</v>
      </c>
      <c r="R24" s="240"/>
      <c r="S24" s="240"/>
      <c r="T24" s="241"/>
      <c r="U24" s="242"/>
    </row>
    <row r="25" spans="1:21" hidden="1">
      <c r="A25" s="234" t="s">
        <v>59</v>
      </c>
      <c r="B25" s="235"/>
      <c r="C25" s="235">
        <v>259</v>
      </c>
      <c r="D25" s="235">
        <v>188</v>
      </c>
      <c r="E25" s="236">
        <f>SUM(B25:D25)</f>
        <v>447</v>
      </c>
      <c r="F25" s="236">
        <v>404</v>
      </c>
      <c r="G25" s="236">
        <v>750</v>
      </c>
      <c r="H25" s="236">
        <f t="shared" si="1"/>
        <v>1154</v>
      </c>
      <c r="I25" s="236"/>
      <c r="J25" s="236"/>
      <c r="K25" s="236">
        <v>1024</v>
      </c>
      <c r="L25" s="236">
        <v>2835</v>
      </c>
      <c r="M25" s="236">
        <f t="shared" si="2"/>
        <v>3859</v>
      </c>
      <c r="N25" s="237">
        <f t="shared" si="4"/>
        <v>5460</v>
      </c>
      <c r="O25" s="238">
        <f t="shared" si="5"/>
        <v>8.1868131868131861</v>
      </c>
      <c r="P25" s="238">
        <f t="shared" si="6"/>
        <v>21.135531135531135</v>
      </c>
      <c r="Q25" s="239">
        <f t="shared" si="3"/>
        <v>70.677655677655679</v>
      </c>
      <c r="R25" s="240"/>
      <c r="S25" s="240"/>
      <c r="T25" s="241"/>
      <c r="U25" s="242"/>
    </row>
    <row r="26" spans="1:21" hidden="1">
      <c r="A26" s="234" t="s">
        <v>60</v>
      </c>
      <c r="B26" s="235"/>
      <c r="C26" s="235">
        <v>239</v>
      </c>
      <c r="D26" s="235">
        <v>210</v>
      </c>
      <c r="E26" s="236">
        <f>SUM(B26:D26)</f>
        <v>449</v>
      </c>
      <c r="F26" s="236">
        <v>372</v>
      </c>
      <c r="G26" s="236">
        <v>760</v>
      </c>
      <c r="H26" s="236">
        <f t="shared" si="1"/>
        <v>1132</v>
      </c>
      <c r="I26" s="236"/>
      <c r="J26" s="236"/>
      <c r="K26" s="236">
        <v>1095</v>
      </c>
      <c r="L26" s="236">
        <v>2869</v>
      </c>
      <c r="M26" s="236">
        <f t="shared" si="2"/>
        <v>3964</v>
      </c>
      <c r="N26" s="237">
        <f t="shared" si="4"/>
        <v>5545</v>
      </c>
      <c r="O26" s="238">
        <f t="shared" si="5"/>
        <v>8.0973850315599645</v>
      </c>
      <c r="P26" s="238">
        <f t="shared" si="6"/>
        <v>20.414788097385031</v>
      </c>
      <c r="Q26" s="239">
        <f t="shared" si="3"/>
        <v>71.487826871055006</v>
      </c>
      <c r="R26" s="240"/>
      <c r="S26" s="240"/>
      <c r="T26" s="241"/>
      <c r="U26" s="242"/>
    </row>
    <row r="27" spans="1:21">
      <c r="A27" s="234" t="s">
        <v>158</v>
      </c>
      <c r="B27" s="235"/>
      <c r="C27" s="235">
        <v>246</v>
      </c>
      <c r="D27" s="235">
        <v>180</v>
      </c>
      <c r="E27" s="236">
        <f>SUM(B27:D27)</f>
        <v>426</v>
      </c>
      <c r="F27" s="236">
        <v>332</v>
      </c>
      <c r="G27" s="236">
        <v>852</v>
      </c>
      <c r="H27" s="236">
        <f t="shared" si="1"/>
        <v>1184</v>
      </c>
      <c r="I27" s="236"/>
      <c r="J27" s="236"/>
      <c r="K27" s="236">
        <v>1292</v>
      </c>
      <c r="L27" s="236">
        <v>3068</v>
      </c>
      <c r="M27" s="236">
        <f t="shared" si="2"/>
        <v>4360</v>
      </c>
      <c r="N27" s="237">
        <f t="shared" si="4"/>
        <v>5970</v>
      </c>
      <c r="O27" s="238">
        <f t="shared" si="5"/>
        <v>7.1356783919597984</v>
      </c>
      <c r="P27" s="238">
        <f t="shared" si="6"/>
        <v>19.832495812395308</v>
      </c>
      <c r="Q27" s="239">
        <f t="shared" si="3"/>
        <v>73.031825795644892</v>
      </c>
      <c r="R27" s="240"/>
      <c r="S27" s="240"/>
      <c r="T27" s="241"/>
      <c r="U27" s="242"/>
    </row>
    <row r="28" spans="1:21" s="256" customFormat="1" ht="20.100000000000001" customHeight="1">
      <c r="A28" s="248"/>
      <c r="B28" s="249"/>
      <c r="C28" s="250"/>
      <c r="D28" s="249"/>
      <c r="E28" s="251" t="s">
        <v>159</v>
      </c>
      <c r="F28" s="251"/>
      <c r="G28" s="251"/>
      <c r="H28" s="251"/>
      <c r="I28" s="251"/>
      <c r="J28" s="251"/>
      <c r="K28" s="251"/>
      <c r="L28" s="251"/>
      <c r="M28" s="251"/>
      <c r="N28" s="251"/>
      <c r="O28" s="252"/>
      <c r="P28" s="252"/>
      <c r="Q28" s="253"/>
      <c r="R28" s="254"/>
      <c r="S28" s="254"/>
      <c r="T28" s="255"/>
      <c r="U28" s="242"/>
    </row>
    <row r="29" spans="1:21">
      <c r="A29" s="234" t="s">
        <v>50</v>
      </c>
      <c r="B29" s="235"/>
      <c r="C29" s="235">
        <v>155</v>
      </c>
      <c r="D29" s="235">
        <v>182</v>
      </c>
      <c r="E29" s="236">
        <f>SUM(B29:D29)</f>
        <v>337</v>
      </c>
      <c r="F29" s="236">
        <v>301</v>
      </c>
      <c r="G29" s="236">
        <v>562</v>
      </c>
      <c r="H29" s="236">
        <f t="shared" si="1"/>
        <v>863</v>
      </c>
      <c r="I29" s="236"/>
      <c r="J29" s="236"/>
      <c r="K29" s="236">
        <v>674</v>
      </c>
      <c r="L29" s="257" t="s">
        <v>160</v>
      </c>
      <c r="M29" s="236">
        <f t="shared" si="2"/>
        <v>674</v>
      </c>
      <c r="N29" s="237">
        <f>SUM(E29,H29,M29)</f>
        <v>1874</v>
      </c>
      <c r="O29" s="238">
        <f>(E29/N29)*100</f>
        <v>17.982924226254003</v>
      </c>
      <c r="P29" s="238">
        <f>(H29/N29)*100</f>
        <v>46.051227321237995</v>
      </c>
      <c r="Q29" s="239">
        <f t="shared" si="3"/>
        <v>35.965848452508006</v>
      </c>
      <c r="R29" s="240"/>
      <c r="S29" s="240"/>
      <c r="T29" s="241"/>
      <c r="U29" s="242"/>
    </row>
    <row r="30" spans="1:21" hidden="1">
      <c r="A30" s="234" t="s">
        <v>153</v>
      </c>
      <c r="B30" s="235"/>
      <c r="C30" s="235">
        <v>154</v>
      </c>
      <c r="D30" s="235">
        <v>170</v>
      </c>
      <c r="E30" s="236">
        <f>SUM(B30:D30)</f>
        <v>324</v>
      </c>
      <c r="F30" s="236">
        <v>292</v>
      </c>
      <c r="G30" s="236">
        <v>562</v>
      </c>
      <c r="H30" s="236">
        <f t="shared" si="1"/>
        <v>854</v>
      </c>
      <c r="I30" s="236"/>
      <c r="J30" s="236"/>
      <c r="K30" s="236">
        <v>685</v>
      </c>
      <c r="L30" s="257" t="s">
        <v>160</v>
      </c>
      <c r="M30" s="236">
        <f t="shared" si="2"/>
        <v>685</v>
      </c>
      <c r="N30" s="237">
        <f>SUM(E30,H30,M30)</f>
        <v>1863</v>
      </c>
      <c r="O30" s="238">
        <f>(E30/N30)*100</f>
        <v>17.391304347826086</v>
      </c>
      <c r="P30" s="238">
        <f>(H30/N30)*100</f>
        <v>45.840042941492214</v>
      </c>
      <c r="Q30" s="239">
        <f t="shared" si="3"/>
        <v>36.7686527106817</v>
      </c>
      <c r="R30" s="240"/>
      <c r="S30" s="240"/>
      <c r="T30" s="241"/>
      <c r="U30" s="242"/>
    </row>
    <row r="31" spans="1:21">
      <c r="A31" s="234" t="s">
        <v>154</v>
      </c>
      <c r="B31" s="235"/>
      <c r="C31" s="235">
        <v>152</v>
      </c>
      <c r="D31" s="235">
        <v>162</v>
      </c>
      <c r="E31" s="236">
        <f>SUM(B31:D31)</f>
        <v>314</v>
      </c>
      <c r="F31" s="236">
        <v>293</v>
      </c>
      <c r="G31" s="236">
        <v>562</v>
      </c>
      <c r="H31" s="236">
        <f t="shared" si="1"/>
        <v>855</v>
      </c>
      <c r="I31" s="236"/>
      <c r="J31" s="236"/>
      <c r="K31" s="236">
        <v>687</v>
      </c>
      <c r="L31" s="257" t="s">
        <v>160</v>
      </c>
      <c r="M31" s="236">
        <f t="shared" si="2"/>
        <v>687</v>
      </c>
      <c r="N31" s="237">
        <f>SUM(E31,H31,M31)</f>
        <v>1856</v>
      </c>
      <c r="O31" s="238">
        <f>(E31/N31)*100</f>
        <v>16.918103448275861</v>
      </c>
      <c r="P31" s="238">
        <f>(H31/N31)*100</f>
        <v>46.066810344827587</v>
      </c>
      <c r="Q31" s="239">
        <f t="shared" si="3"/>
        <v>37.015086206896555</v>
      </c>
      <c r="R31" s="240"/>
      <c r="S31" s="240"/>
      <c r="T31" s="241"/>
      <c r="U31" s="242"/>
    </row>
    <row r="32" spans="1:21">
      <c r="A32" s="234" t="s">
        <v>155</v>
      </c>
      <c r="B32" s="235"/>
      <c r="C32" s="235">
        <v>151</v>
      </c>
      <c r="D32" s="235">
        <v>162</v>
      </c>
      <c r="E32" s="236">
        <f>SUM(B32:D32)</f>
        <v>313</v>
      </c>
      <c r="F32" s="236">
        <v>295</v>
      </c>
      <c r="G32" s="236">
        <v>561</v>
      </c>
      <c r="H32" s="236">
        <f t="shared" si="1"/>
        <v>856</v>
      </c>
      <c r="I32" s="236"/>
      <c r="J32" s="236"/>
      <c r="K32" s="236">
        <v>689</v>
      </c>
      <c r="L32" s="257" t="s">
        <v>160</v>
      </c>
      <c r="M32" s="236">
        <f t="shared" si="2"/>
        <v>689</v>
      </c>
      <c r="N32" s="237">
        <f>SUM(E32,H32,M32)</f>
        <v>1858</v>
      </c>
      <c r="O32" s="238">
        <f>(E32/N32)*100</f>
        <v>16.846071044133478</v>
      </c>
      <c r="P32" s="238">
        <f>(H32/N32)*100</f>
        <v>46.07104413347686</v>
      </c>
      <c r="Q32" s="239">
        <f t="shared" si="3"/>
        <v>37.082884822389666</v>
      </c>
      <c r="R32" s="240"/>
      <c r="S32" s="240"/>
      <c r="T32" s="241"/>
      <c r="U32" s="242"/>
    </row>
    <row r="33" spans="1:21">
      <c r="A33" s="234" t="s">
        <v>156</v>
      </c>
      <c r="B33" s="235"/>
      <c r="C33" s="235">
        <v>150</v>
      </c>
      <c r="D33" s="235">
        <v>162</v>
      </c>
      <c r="E33" s="236">
        <f>SUM(B33:D33)</f>
        <v>312</v>
      </c>
      <c r="F33" s="236">
        <v>294</v>
      </c>
      <c r="G33" s="236">
        <v>560</v>
      </c>
      <c r="H33" s="236">
        <f t="shared" si="1"/>
        <v>854</v>
      </c>
      <c r="I33" s="236"/>
      <c r="J33" s="236"/>
      <c r="K33" s="236">
        <v>706</v>
      </c>
      <c r="L33" s="257" t="s">
        <v>160</v>
      </c>
      <c r="M33" s="236">
        <f t="shared" si="2"/>
        <v>706</v>
      </c>
      <c r="N33" s="237">
        <f>SUM(E33,H33,M33)</f>
        <v>1872</v>
      </c>
      <c r="O33" s="238">
        <f>(E33/N33)*100</f>
        <v>16.666666666666664</v>
      </c>
      <c r="P33" s="238">
        <f>(H33/N33)*100</f>
        <v>45.619658119658119</v>
      </c>
      <c r="Q33" s="239">
        <f t="shared" si="3"/>
        <v>37.713675213675216</v>
      </c>
      <c r="R33" s="240"/>
      <c r="S33" s="240"/>
      <c r="T33" s="241"/>
      <c r="U33" s="242"/>
    </row>
    <row r="34" spans="1:21">
      <c r="A34" s="243"/>
      <c r="B34" s="244"/>
      <c r="C34" s="244"/>
      <c r="D34" s="244"/>
      <c r="E34" s="245"/>
      <c r="F34" s="245"/>
      <c r="G34" s="245"/>
      <c r="H34" s="236"/>
      <c r="I34" s="236"/>
      <c r="J34" s="236"/>
      <c r="K34" s="245"/>
      <c r="L34" s="245"/>
      <c r="M34" s="236"/>
      <c r="N34" s="246"/>
      <c r="O34" s="238"/>
      <c r="P34" s="238"/>
      <c r="Q34" s="239"/>
      <c r="R34" s="240"/>
      <c r="S34" s="240"/>
      <c r="T34" s="241"/>
      <c r="U34" s="242"/>
    </row>
    <row r="35" spans="1:21">
      <c r="A35" s="234" t="s">
        <v>51</v>
      </c>
      <c r="B35" s="235"/>
      <c r="C35" s="235">
        <v>150</v>
      </c>
      <c r="D35" s="235">
        <v>160</v>
      </c>
      <c r="E35" s="236">
        <f>SUM(B35:D35)</f>
        <v>310</v>
      </c>
      <c r="F35" s="236">
        <v>311</v>
      </c>
      <c r="G35" s="236">
        <v>551</v>
      </c>
      <c r="H35" s="236">
        <f t="shared" si="1"/>
        <v>862</v>
      </c>
      <c r="I35" s="236"/>
      <c r="J35" s="236"/>
      <c r="K35" s="236">
        <v>708</v>
      </c>
      <c r="L35" s="257" t="s">
        <v>160</v>
      </c>
      <c r="M35" s="236">
        <f t="shared" si="2"/>
        <v>708</v>
      </c>
      <c r="N35" s="237">
        <f>SUM(E35,H35,M35)</f>
        <v>1880</v>
      </c>
      <c r="O35" s="238">
        <f>(E35/N35)*100</f>
        <v>16.48936170212766</v>
      </c>
      <c r="P35" s="238">
        <f>(H35/N35)*100</f>
        <v>45.851063829787236</v>
      </c>
      <c r="Q35" s="239">
        <f t="shared" si="3"/>
        <v>37.659574468085104</v>
      </c>
      <c r="R35" s="240"/>
      <c r="S35" s="240"/>
      <c r="T35" s="241"/>
      <c r="U35" s="242"/>
    </row>
    <row r="36" spans="1:21">
      <c r="A36" s="234" t="s">
        <v>52</v>
      </c>
      <c r="B36" s="235"/>
      <c r="C36" s="235">
        <v>150</v>
      </c>
      <c r="D36" s="235">
        <v>154</v>
      </c>
      <c r="E36" s="236">
        <f>SUM(B36:D36)</f>
        <v>304</v>
      </c>
      <c r="F36" s="236">
        <v>364</v>
      </c>
      <c r="G36" s="236">
        <v>547</v>
      </c>
      <c r="H36" s="236">
        <f t="shared" si="1"/>
        <v>911</v>
      </c>
      <c r="I36" s="236"/>
      <c r="J36" s="236"/>
      <c r="K36" s="236">
        <v>709</v>
      </c>
      <c r="L36" s="257" t="s">
        <v>160</v>
      </c>
      <c r="M36" s="236">
        <f t="shared" si="2"/>
        <v>709</v>
      </c>
      <c r="N36" s="237">
        <f>SUM(E36,H36,M36)</f>
        <v>1924</v>
      </c>
      <c r="O36" s="238">
        <f>(E36/N36)*100</f>
        <v>15.800415800415802</v>
      </c>
      <c r="P36" s="238">
        <f>(H36/N36)*100</f>
        <v>47.349272349272347</v>
      </c>
      <c r="Q36" s="239">
        <f t="shared" si="3"/>
        <v>36.850311850311854</v>
      </c>
      <c r="R36" s="240"/>
      <c r="S36" s="240"/>
      <c r="T36" s="241"/>
      <c r="U36" s="242"/>
    </row>
    <row r="37" spans="1:21">
      <c r="A37" s="234" t="s">
        <v>53</v>
      </c>
      <c r="B37" s="235"/>
      <c r="C37" s="235">
        <v>156</v>
      </c>
      <c r="D37" s="235">
        <v>137</v>
      </c>
      <c r="E37" s="236">
        <f>SUM(B37:D37)</f>
        <v>293</v>
      </c>
      <c r="F37" s="236">
        <v>394</v>
      </c>
      <c r="G37" s="236">
        <v>537</v>
      </c>
      <c r="H37" s="236">
        <f t="shared" si="1"/>
        <v>931</v>
      </c>
      <c r="I37" s="236"/>
      <c r="J37" s="236"/>
      <c r="K37" s="236">
        <f>609+102</f>
        <v>711</v>
      </c>
      <c r="L37" s="257" t="s">
        <v>161</v>
      </c>
      <c r="M37" s="236">
        <f t="shared" si="2"/>
        <v>711</v>
      </c>
      <c r="N37" s="237">
        <f>SUM(E37,H37,M37)</f>
        <v>1935</v>
      </c>
      <c r="O37" s="238">
        <f>(E37/N37)*100</f>
        <v>15.142118863049095</v>
      </c>
      <c r="P37" s="238">
        <f>(H37/N37)*100</f>
        <v>48.113695090439279</v>
      </c>
      <c r="Q37" s="239">
        <f t="shared" si="3"/>
        <v>36.744186046511629</v>
      </c>
      <c r="R37" s="240"/>
      <c r="S37" s="240"/>
      <c r="T37" s="241"/>
      <c r="U37" s="242"/>
    </row>
    <row r="38" spans="1:21" hidden="1">
      <c r="A38" s="234" t="s">
        <v>54</v>
      </c>
      <c r="B38" s="235"/>
      <c r="C38" s="235">
        <v>155</v>
      </c>
      <c r="D38" s="235">
        <v>163</v>
      </c>
      <c r="E38" s="236">
        <f>SUM(B38:D38)</f>
        <v>318</v>
      </c>
      <c r="F38" s="236">
        <v>389</v>
      </c>
      <c r="G38" s="236">
        <v>544</v>
      </c>
      <c r="H38" s="236">
        <f t="shared" si="1"/>
        <v>933</v>
      </c>
      <c r="I38" s="236"/>
      <c r="J38" s="236"/>
      <c r="K38" s="236">
        <f>678+101</f>
        <v>779</v>
      </c>
      <c r="L38" s="257" t="s">
        <v>161</v>
      </c>
      <c r="M38" s="236">
        <f t="shared" si="2"/>
        <v>779</v>
      </c>
      <c r="N38" s="237">
        <f>SUM(E38,H38,M38)</f>
        <v>2030</v>
      </c>
      <c r="O38" s="238">
        <f>(E38/N38)*100</f>
        <v>15.665024630541872</v>
      </c>
      <c r="P38" s="238">
        <f>(H38/N38)*100</f>
        <v>45.960591133004925</v>
      </c>
      <c r="Q38" s="239">
        <f t="shared" si="3"/>
        <v>38.374384236453203</v>
      </c>
      <c r="R38" s="240"/>
      <c r="S38" s="240"/>
      <c r="T38" s="241"/>
      <c r="U38" s="242"/>
    </row>
    <row r="39" spans="1:21" hidden="1">
      <c r="A39" s="234" t="s">
        <v>55</v>
      </c>
      <c r="B39" s="235"/>
      <c r="C39" s="235">
        <v>146</v>
      </c>
      <c r="D39" s="235">
        <v>129</v>
      </c>
      <c r="E39" s="236">
        <f>SUM(B39:D39)</f>
        <v>275</v>
      </c>
      <c r="F39" s="236">
        <v>367</v>
      </c>
      <c r="G39" s="236">
        <v>545</v>
      </c>
      <c r="H39" s="236">
        <f t="shared" si="1"/>
        <v>912</v>
      </c>
      <c r="I39" s="236"/>
      <c r="J39" s="236"/>
      <c r="K39" s="236">
        <f>699+101</f>
        <v>800</v>
      </c>
      <c r="L39" s="257" t="s">
        <v>161</v>
      </c>
      <c r="M39" s="236">
        <f t="shared" si="2"/>
        <v>800</v>
      </c>
      <c r="N39" s="237">
        <f>SUM(E39,H39,M39)</f>
        <v>1987</v>
      </c>
      <c r="O39" s="238">
        <f>(E39/N39)*100</f>
        <v>13.839959738298942</v>
      </c>
      <c r="P39" s="238">
        <f>(H39/N39)*100</f>
        <v>45.898339204831409</v>
      </c>
      <c r="Q39" s="239">
        <f t="shared" si="3"/>
        <v>40.261701056869654</v>
      </c>
      <c r="R39" s="240"/>
      <c r="S39" s="240"/>
      <c r="T39" s="241"/>
      <c r="U39" s="242"/>
    </row>
    <row r="40" spans="1:21">
      <c r="A40" s="243"/>
      <c r="B40" s="244"/>
      <c r="C40" s="244"/>
      <c r="D40" s="244"/>
      <c r="E40" s="245"/>
      <c r="F40" s="245"/>
      <c r="G40" s="245"/>
      <c r="H40" s="236"/>
      <c r="I40" s="236"/>
      <c r="J40" s="236"/>
      <c r="K40" s="245"/>
      <c r="L40" s="245"/>
      <c r="M40" s="236"/>
      <c r="N40" s="246"/>
      <c r="O40" s="238"/>
      <c r="P40" s="238"/>
      <c r="Q40" s="239"/>
      <c r="R40" s="240"/>
      <c r="S40" s="240"/>
      <c r="T40" s="241"/>
      <c r="U40" s="242"/>
    </row>
    <row r="41" spans="1:21">
      <c r="A41" s="234" t="s">
        <v>56</v>
      </c>
      <c r="B41" s="235"/>
      <c r="C41" s="235">
        <v>139</v>
      </c>
      <c r="D41" s="235">
        <v>118</v>
      </c>
      <c r="E41" s="236">
        <f t="shared" ref="E41:E46" si="7">SUM(B41:D41)</f>
        <v>257</v>
      </c>
      <c r="F41" s="236">
        <v>363</v>
      </c>
      <c r="G41" s="236">
        <v>548</v>
      </c>
      <c r="H41" s="236">
        <f t="shared" ref="H41:H55" si="8">SUM(F41:G41)</f>
        <v>911</v>
      </c>
      <c r="I41" s="236"/>
      <c r="J41" s="236"/>
      <c r="K41" s="236">
        <f>700+103</f>
        <v>803</v>
      </c>
      <c r="L41" s="257" t="s">
        <v>161</v>
      </c>
      <c r="M41" s="236">
        <f t="shared" ref="M41:M55" si="9">SUM(K41:L41)</f>
        <v>803</v>
      </c>
      <c r="N41" s="237">
        <f>SUM(E41,H41,M41)</f>
        <v>1971</v>
      </c>
      <c r="O41" s="238">
        <f>(E41/N41)*100</f>
        <v>13.039066463723998</v>
      </c>
      <c r="P41" s="238">
        <f>(H41/N41)*100</f>
        <v>46.220192795535262</v>
      </c>
      <c r="Q41" s="239">
        <f t="shared" ref="Q41:Q54" si="10">(M41/N41)*100</f>
        <v>40.74074074074074</v>
      </c>
      <c r="R41" s="240"/>
      <c r="S41" s="240"/>
      <c r="T41" s="241"/>
      <c r="U41" s="242"/>
    </row>
    <row r="42" spans="1:21">
      <c r="A42" s="234" t="s">
        <v>57</v>
      </c>
      <c r="B42" s="235"/>
      <c r="C42" s="235">
        <v>143</v>
      </c>
      <c r="D42" s="235">
        <v>112</v>
      </c>
      <c r="E42" s="236">
        <f t="shared" si="7"/>
        <v>255</v>
      </c>
      <c r="F42" s="236">
        <v>359</v>
      </c>
      <c r="G42" s="236">
        <v>550</v>
      </c>
      <c r="H42" s="236">
        <f t="shared" si="8"/>
        <v>909</v>
      </c>
      <c r="I42" s="236"/>
      <c r="J42" s="236"/>
      <c r="K42" s="236">
        <f>728+103</f>
        <v>831</v>
      </c>
      <c r="L42" s="257" t="s">
        <v>161</v>
      </c>
      <c r="M42" s="236">
        <f t="shared" si="9"/>
        <v>831</v>
      </c>
      <c r="N42" s="237">
        <f>SUM(E42,H42,M42)</f>
        <v>1995</v>
      </c>
      <c r="O42" s="238">
        <f>(E42/N42)*100</f>
        <v>12.781954887218044</v>
      </c>
      <c r="P42" s="238">
        <f>(H42/N42)*100</f>
        <v>45.563909774436091</v>
      </c>
      <c r="Q42" s="239">
        <f t="shared" si="10"/>
        <v>41.654135338345867</v>
      </c>
      <c r="R42" s="240"/>
      <c r="S42" s="240"/>
      <c r="T42" s="241"/>
      <c r="U42" s="242"/>
    </row>
    <row r="43" spans="1:21">
      <c r="A43" s="234" t="s">
        <v>58</v>
      </c>
      <c r="B43" s="235"/>
      <c r="C43" s="235">
        <v>160</v>
      </c>
      <c r="D43" s="235">
        <v>111</v>
      </c>
      <c r="E43" s="236">
        <f t="shared" si="7"/>
        <v>271</v>
      </c>
      <c r="F43" s="236">
        <v>353</v>
      </c>
      <c r="G43" s="236">
        <v>552</v>
      </c>
      <c r="H43" s="236">
        <f t="shared" si="8"/>
        <v>905</v>
      </c>
      <c r="I43" s="236"/>
      <c r="J43" s="236"/>
      <c r="K43" s="236">
        <f>745+110</f>
        <v>855</v>
      </c>
      <c r="L43" s="257" t="s">
        <v>161</v>
      </c>
      <c r="M43" s="236">
        <f t="shared" si="9"/>
        <v>855</v>
      </c>
      <c r="N43" s="237">
        <f>SUM(E43,H43,M43)</f>
        <v>2031</v>
      </c>
      <c r="O43" s="238">
        <f>(E43/N43)*100</f>
        <v>13.343180699162973</v>
      </c>
      <c r="P43" s="238">
        <f>(H43/N43)*100</f>
        <v>44.559330379123587</v>
      </c>
      <c r="Q43" s="239">
        <f t="shared" si="10"/>
        <v>42.097488921713442</v>
      </c>
      <c r="R43" s="240"/>
      <c r="S43" s="240"/>
      <c r="T43" s="241"/>
      <c r="U43" s="242"/>
    </row>
    <row r="44" spans="1:21" hidden="1">
      <c r="A44" s="234" t="s">
        <v>59</v>
      </c>
      <c r="B44" s="235"/>
      <c r="C44" s="235">
        <v>144</v>
      </c>
      <c r="D44" s="235">
        <v>104</v>
      </c>
      <c r="E44" s="236">
        <f t="shared" si="7"/>
        <v>248</v>
      </c>
      <c r="F44" s="236">
        <v>330</v>
      </c>
      <c r="G44" s="236">
        <v>551</v>
      </c>
      <c r="H44" s="236">
        <f t="shared" si="8"/>
        <v>881</v>
      </c>
      <c r="I44" s="236"/>
      <c r="J44" s="236"/>
      <c r="K44" s="236">
        <f>746+108</f>
        <v>854</v>
      </c>
      <c r="L44" s="257" t="s">
        <v>161</v>
      </c>
      <c r="M44" s="236">
        <f t="shared" si="9"/>
        <v>854</v>
      </c>
      <c r="N44" s="237">
        <f>SUM(E44,H44,M44)</f>
        <v>1983</v>
      </c>
      <c r="O44" s="238">
        <f>(E44/N44)*100</f>
        <v>12.506303580433686</v>
      </c>
      <c r="P44" s="238">
        <f>(H44/N44)*100</f>
        <v>44.427634896621285</v>
      </c>
      <c r="Q44" s="239">
        <f t="shared" si="10"/>
        <v>43.066061522945034</v>
      </c>
      <c r="R44" s="240"/>
      <c r="S44" s="240"/>
      <c r="T44" s="241"/>
      <c r="U44" s="242"/>
    </row>
    <row r="45" spans="1:21" hidden="1">
      <c r="A45" s="234" t="s">
        <v>60</v>
      </c>
      <c r="B45" s="258"/>
      <c r="C45" s="258" t="s">
        <v>162</v>
      </c>
      <c r="D45" s="258" t="s">
        <v>162</v>
      </c>
      <c r="E45" s="259" t="s">
        <v>134</v>
      </c>
      <c r="F45" s="259" t="s">
        <v>162</v>
      </c>
      <c r="G45" s="259" t="s">
        <v>162</v>
      </c>
      <c r="H45" s="259" t="s">
        <v>134</v>
      </c>
      <c r="I45" s="259"/>
      <c r="J45" s="259"/>
      <c r="K45" s="259" t="s">
        <v>162</v>
      </c>
      <c r="L45" s="259" t="s">
        <v>162</v>
      </c>
      <c r="M45" s="259" t="s">
        <v>134</v>
      </c>
      <c r="N45" s="260" t="s">
        <v>134</v>
      </c>
      <c r="O45" s="238"/>
      <c r="P45" s="238"/>
      <c r="Q45" s="239"/>
      <c r="R45" s="240"/>
      <c r="S45" s="240"/>
      <c r="T45" s="241"/>
      <c r="U45" s="242"/>
    </row>
    <row r="46" spans="1:21">
      <c r="A46" s="234" t="s">
        <v>61</v>
      </c>
      <c r="B46" s="235"/>
      <c r="C46" s="235">
        <v>43</v>
      </c>
      <c r="D46" s="235">
        <v>89</v>
      </c>
      <c r="E46" s="236">
        <f t="shared" si="7"/>
        <v>132</v>
      </c>
      <c r="F46" s="236">
        <v>138</v>
      </c>
      <c r="G46" s="236">
        <v>212</v>
      </c>
      <c r="H46" s="236">
        <f t="shared" si="8"/>
        <v>350</v>
      </c>
      <c r="I46" s="236"/>
      <c r="J46" s="236"/>
      <c r="K46" s="236">
        <v>485</v>
      </c>
      <c r="L46" s="257" t="s">
        <v>160</v>
      </c>
      <c r="M46" s="236">
        <f t="shared" si="9"/>
        <v>485</v>
      </c>
      <c r="N46" s="261">
        <f>SUM(E46,H46,M46)</f>
        <v>967</v>
      </c>
      <c r="O46" s="238">
        <f>(E46/N46)*100</f>
        <v>13.650465356773525</v>
      </c>
      <c r="P46" s="238">
        <f>(H46/N46)*100</f>
        <v>36.194415718717678</v>
      </c>
      <c r="Q46" s="239">
        <f t="shared" si="10"/>
        <v>50.155118924508791</v>
      </c>
      <c r="R46" s="240"/>
      <c r="S46" s="240"/>
      <c r="T46" s="241"/>
      <c r="U46" s="242"/>
    </row>
    <row r="47" spans="1:21" s="256" customFormat="1" ht="20.100000000000001" customHeight="1">
      <c r="A47" s="248"/>
      <c r="B47" s="249"/>
      <c r="C47" s="250"/>
      <c r="D47" s="249"/>
      <c r="E47" s="251" t="s">
        <v>30</v>
      </c>
      <c r="F47" s="251"/>
      <c r="G47" s="251"/>
      <c r="H47" s="251"/>
      <c r="I47" s="251"/>
      <c r="J47" s="251"/>
      <c r="K47" s="251"/>
      <c r="L47" s="251"/>
      <c r="M47" s="251"/>
      <c r="N47" s="251"/>
      <c r="O47" s="252"/>
      <c r="P47" s="252"/>
      <c r="Q47" s="253"/>
      <c r="R47" s="254"/>
      <c r="S47" s="254"/>
      <c r="T47" s="255"/>
      <c r="U47" s="242"/>
    </row>
    <row r="48" spans="1:21" hidden="1">
      <c r="A48" s="234" t="s">
        <v>61</v>
      </c>
      <c r="B48" s="235"/>
      <c r="C48" s="235">
        <v>289</v>
      </c>
      <c r="D48" s="235">
        <v>269</v>
      </c>
      <c r="E48" s="236">
        <f t="shared" ref="E48:E54" si="11">SUM(B48:D48)</f>
        <v>558</v>
      </c>
      <c r="F48" s="236">
        <v>470</v>
      </c>
      <c r="G48" s="236">
        <v>1064</v>
      </c>
      <c r="H48" s="236">
        <f t="shared" si="8"/>
        <v>1534</v>
      </c>
      <c r="I48" s="236"/>
      <c r="J48" s="236"/>
      <c r="K48" s="236">
        <v>1777</v>
      </c>
      <c r="L48" s="236">
        <v>3281</v>
      </c>
      <c r="M48" s="236">
        <f t="shared" si="9"/>
        <v>5058</v>
      </c>
      <c r="N48" s="262">
        <f>SUM(B48,C48,D48,F48,G48,K48,L48)+223.479</f>
        <v>7373.4790000000003</v>
      </c>
      <c r="O48" s="238">
        <f t="shared" ref="O48:O54" si="12">(E48/N48)*100</f>
        <v>7.567662429092155</v>
      </c>
      <c r="P48" s="238">
        <f t="shared" ref="P48:P54" si="13">(H48/N48)*100</f>
        <v>20.804290620479151</v>
      </c>
      <c r="Q48" s="239">
        <f t="shared" si="10"/>
        <v>68.597198147577274</v>
      </c>
      <c r="R48" s="240"/>
      <c r="S48" s="240"/>
      <c r="T48" s="241">
        <f>(223479/N48/1000)*100</f>
        <v>3.0308488028514087</v>
      </c>
      <c r="U48" s="263"/>
    </row>
    <row r="49" spans="1:21" hidden="1">
      <c r="A49" s="234" t="s">
        <v>63</v>
      </c>
      <c r="B49" s="235"/>
      <c r="C49" s="235">
        <v>284</v>
      </c>
      <c r="D49" s="235">
        <v>224</v>
      </c>
      <c r="E49" s="236">
        <f t="shared" si="11"/>
        <v>508</v>
      </c>
      <c r="F49" s="236">
        <v>421</v>
      </c>
      <c r="G49" s="236">
        <v>1017</v>
      </c>
      <c r="H49" s="236">
        <f t="shared" si="8"/>
        <v>1438</v>
      </c>
      <c r="I49" s="236"/>
      <c r="J49" s="236"/>
      <c r="K49" s="264">
        <v>2124</v>
      </c>
      <c r="L49" s="264">
        <v>2762</v>
      </c>
      <c r="M49" s="236">
        <f t="shared" si="9"/>
        <v>4886</v>
      </c>
      <c r="N49" s="262">
        <f>SUM(B49,C49,D49,F49,G49,K49,L49)+226.649</f>
        <v>7058.6490000000003</v>
      </c>
      <c r="O49" s="238">
        <f t="shared" si="12"/>
        <v>7.1968446086496147</v>
      </c>
      <c r="P49" s="238">
        <f t="shared" si="13"/>
        <v>20.372170368579027</v>
      </c>
      <c r="Q49" s="239">
        <f t="shared" si="10"/>
        <v>69.220044798940989</v>
      </c>
      <c r="R49" s="240"/>
      <c r="S49" s="240"/>
      <c r="T49" s="241">
        <f>(226649/N49/1000)*100</f>
        <v>3.210940223830367</v>
      </c>
      <c r="U49" s="263"/>
    </row>
    <row r="50" spans="1:21" hidden="1">
      <c r="A50" s="265" t="s">
        <v>64</v>
      </c>
      <c r="B50" s="266"/>
      <c r="C50" s="266">
        <v>262.19</v>
      </c>
      <c r="D50" s="266">
        <v>254.672</v>
      </c>
      <c r="E50" s="267">
        <f t="shared" si="11"/>
        <v>516.86199999999997</v>
      </c>
      <c r="F50" s="267">
        <v>427.97199999999998</v>
      </c>
      <c r="G50" s="267">
        <v>908.18200000000002</v>
      </c>
      <c r="H50" s="236">
        <f t="shared" si="8"/>
        <v>1336.154</v>
      </c>
      <c r="I50" s="236"/>
      <c r="J50" s="236"/>
      <c r="K50" s="267">
        <v>2076.078</v>
      </c>
      <c r="L50" s="267">
        <v>2967.971</v>
      </c>
      <c r="M50" s="236">
        <f t="shared" si="9"/>
        <v>5044.049</v>
      </c>
      <c r="N50" s="262">
        <f>SUM(B50,C50,D50,F50,G50,K50,L50)+223.597</f>
        <v>7120.6620000000003</v>
      </c>
      <c r="O50" s="238">
        <f t="shared" si="12"/>
        <v>7.2586228639977577</v>
      </c>
      <c r="P50" s="238">
        <f t="shared" si="13"/>
        <v>18.764463191765035</v>
      </c>
      <c r="Q50" s="239">
        <f t="shared" si="10"/>
        <v>70.836798601028946</v>
      </c>
      <c r="R50" s="240"/>
      <c r="S50" s="240"/>
      <c r="T50" s="241">
        <f>(223597/N50/1000)*100</f>
        <v>3.140115343208258</v>
      </c>
      <c r="U50" s="263"/>
    </row>
    <row r="51" spans="1:21" ht="12.75" hidden="1" customHeight="1">
      <c r="A51" s="265" t="s">
        <v>65</v>
      </c>
      <c r="B51" s="266"/>
      <c r="C51" s="266">
        <v>254.63800000000001</v>
      </c>
      <c r="D51" s="266">
        <v>256.26100000000002</v>
      </c>
      <c r="E51" s="267">
        <f t="shared" si="11"/>
        <v>510.899</v>
      </c>
      <c r="F51" s="267">
        <v>433.04599999999999</v>
      </c>
      <c r="G51" s="267">
        <v>820.73599999999999</v>
      </c>
      <c r="H51" s="236">
        <f t="shared" si="8"/>
        <v>1253.7819999999999</v>
      </c>
      <c r="I51" s="236"/>
      <c r="J51" s="236"/>
      <c r="K51" s="267">
        <v>1950.62</v>
      </c>
      <c r="L51" s="267">
        <v>3162.97</v>
      </c>
      <c r="M51" s="236">
        <f t="shared" si="9"/>
        <v>5113.59</v>
      </c>
      <c r="N51" s="262">
        <f>SUM(B51,C51,D51,F51,G51,K51,L51)+257.493</f>
        <v>7135.7640000000001</v>
      </c>
      <c r="O51" s="238">
        <f t="shared" si="12"/>
        <v>7.1596958643811641</v>
      </c>
      <c r="P51" s="238">
        <f t="shared" si="13"/>
        <v>17.57039610614925</v>
      </c>
      <c r="Q51" s="239">
        <f t="shared" si="10"/>
        <v>71.661422659157452</v>
      </c>
      <c r="R51" s="240"/>
      <c r="S51" s="240"/>
      <c r="T51" s="241">
        <f>(257493/N51/1000)*100</f>
        <v>3.6084853703121347</v>
      </c>
      <c r="U51" s="263"/>
    </row>
    <row r="52" spans="1:21" ht="12.75" hidden="1" customHeight="1">
      <c r="A52" s="265" t="s">
        <v>66</v>
      </c>
      <c r="B52" s="266"/>
      <c r="C52" s="266">
        <v>235.67099999999999</v>
      </c>
      <c r="D52" s="266">
        <v>212.02099999999999</v>
      </c>
      <c r="E52" s="267">
        <f t="shared" si="11"/>
        <v>447.69200000000001</v>
      </c>
      <c r="F52" s="267">
        <v>366.37799999999999</v>
      </c>
      <c r="G52" s="267">
        <v>717.81500000000005</v>
      </c>
      <c r="H52" s="236">
        <f t="shared" si="8"/>
        <v>1084.193</v>
      </c>
      <c r="I52" s="236"/>
      <c r="J52" s="236"/>
      <c r="K52" s="267">
        <v>2071.2719999999999</v>
      </c>
      <c r="L52" s="267">
        <v>3235.7890000000002</v>
      </c>
      <c r="M52" s="236">
        <f t="shared" si="9"/>
        <v>5307.0609999999997</v>
      </c>
      <c r="N52" s="262">
        <f>SUM(B52,C52,D52,F52,G52,K52,L52)+274.491</f>
        <v>7113.4369999999999</v>
      </c>
      <c r="O52" s="238">
        <f t="shared" si="12"/>
        <v>6.2936102477606823</v>
      </c>
      <c r="P52" s="238">
        <f t="shared" si="13"/>
        <v>15.241478908156495</v>
      </c>
      <c r="Q52" s="239">
        <f t="shared" si="10"/>
        <v>74.606143275044118</v>
      </c>
      <c r="R52" s="240"/>
      <c r="S52" s="240"/>
      <c r="T52" s="241">
        <f>(274491/N52/1000)*100</f>
        <v>3.8587675690387084</v>
      </c>
      <c r="U52" s="263"/>
    </row>
    <row r="53" spans="1:21" ht="12.75" customHeight="1">
      <c r="A53" s="265" t="s">
        <v>67</v>
      </c>
      <c r="B53" s="266"/>
      <c r="C53" s="266">
        <v>215.49600000000001</v>
      </c>
      <c r="D53" s="266">
        <v>234.72900000000001</v>
      </c>
      <c r="E53" s="267">
        <f t="shared" si="11"/>
        <v>450.22500000000002</v>
      </c>
      <c r="F53" s="267">
        <v>337.39400000000001</v>
      </c>
      <c r="G53" s="267">
        <v>775.58900000000006</v>
      </c>
      <c r="H53" s="236">
        <f t="shared" si="8"/>
        <v>1112.9830000000002</v>
      </c>
      <c r="I53" s="236"/>
      <c r="J53" s="236"/>
      <c r="K53" s="267">
        <v>1783.4290000000001</v>
      </c>
      <c r="L53" s="267">
        <v>3531.4050000000002</v>
      </c>
      <c r="M53" s="236">
        <f t="shared" si="9"/>
        <v>5314.8340000000007</v>
      </c>
      <c r="N53" s="262">
        <f>SUM(B53,C53,D53,F53,G53,K53,L53)+293.166</f>
        <v>7171.2080000000005</v>
      </c>
      <c r="O53" s="238">
        <f>(E53/N53)*100</f>
        <v>6.278230947979754</v>
      </c>
      <c r="P53" s="238">
        <f t="shared" si="13"/>
        <v>15.520160620079631</v>
      </c>
      <c r="Q53" s="239">
        <f>(M53/N53)*100</f>
        <v>74.113510582875307</v>
      </c>
      <c r="R53" s="240"/>
      <c r="S53" s="240"/>
      <c r="T53" s="268">
        <f>(293166/N53/1000)*100</f>
        <v>4.0880978490653179</v>
      </c>
      <c r="U53" s="263"/>
    </row>
    <row r="54" spans="1:21" ht="12.75" hidden="1" customHeight="1">
      <c r="A54" s="265" t="s">
        <v>68</v>
      </c>
      <c r="B54" s="266"/>
      <c r="C54" s="266">
        <v>213.678</v>
      </c>
      <c r="D54" s="266">
        <v>242.023</v>
      </c>
      <c r="E54" s="267">
        <f t="shared" si="11"/>
        <v>455.70100000000002</v>
      </c>
      <c r="F54" s="267">
        <v>335.96899999999999</v>
      </c>
      <c r="G54" s="267">
        <v>767.11900000000003</v>
      </c>
      <c r="H54" s="236">
        <f t="shared" si="8"/>
        <v>1103.088</v>
      </c>
      <c r="I54" s="236"/>
      <c r="J54" s="236"/>
      <c r="K54" s="267">
        <v>1645.174</v>
      </c>
      <c r="L54" s="267">
        <v>3923.442</v>
      </c>
      <c r="M54" s="236">
        <f t="shared" si="9"/>
        <v>5568.616</v>
      </c>
      <c r="N54" s="262">
        <f>SUM(B54,C54,D54,F54,G54,K54,L54)+307.971</f>
        <v>7435.3760000000002</v>
      </c>
      <c r="O54" s="238">
        <f t="shared" si="12"/>
        <v>6.1288225370176299</v>
      </c>
      <c r="P54" s="238">
        <f t="shared" si="13"/>
        <v>14.835672062851964</v>
      </c>
      <c r="Q54" s="239">
        <f t="shared" si="10"/>
        <v>74.893535982578413</v>
      </c>
      <c r="R54" s="240"/>
      <c r="S54" s="240"/>
      <c r="T54" s="241">
        <f>(307971/N54/1000)*100</f>
        <v>4.1419694175519837</v>
      </c>
      <c r="U54" s="263"/>
    </row>
    <row r="55" spans="1:21" ht="12.75" hidden="1" customHeight="1">
      <c r="A55" s="265" t="s">
        <v>69</v>
      </c>
      <c r="B55" s="266"/>
      <c r="C55" s="266">
        <v>209.58199999999999</v>
      </c>
      <c r="D55" s="266">
        <v>231.369</v>
      </c>
      <c r="E55" s="267">
        <f>SUM(B55:D55)</f>
        <v>440.95100000000002</v>
      </c>
      <c r="F55" s="267">
        <v>305.01299999999998</v>
      </c>
      <c r="G55" s="267">
        <v>651.01599999999996</v>
      </c>
      <c r="H55" s="236">
        <f t="shared" si="8"/>
        <v>956.029</v>
      </c>
      <c r="I55" s="236"/>
      <c r="J55" s="236"/>
      <c r="K55" s="267">
        <v>1779.5650000000001</v>
      </c>
      <c r="L55" s="267">
        <v>4055.6840000000002</v>
      </c>
      <c r="M55" s="236">
        <f t="shared" si="9"/>
        <v>5835.2489999999998</v>
      </c>
      <c r="N55" s="262">
        <f>SUM(B55,C55,D55,F55,G55,K55,L55)+319.885</f>
        <v>7552.1140000000005</v>
      </c>
      <c r="O55" s="238">
        <v>6.3396378004609817</v>
      </c>
      <c r="P55" s="238">
        <v>12.591755021402701</v>
      </c>
      <c r="Q55" s="239">
        <v>76.855436285808366</v>
      </c>
      <c r="R55" s="240"/>
      <c r="S55" s="240"/>
      <c r="T55" s="241">
        <f>(319885/N55/1000)*100</f>
        <v>4.2357014208207131</v>
      </c>
      <c r="U55" s="263"/>
    </row>
    <row r="56" spans="1:21" s="244" customFormat="1" ht="12.75" hidden="1" customHeight="1">
      <c r="A56" s="269" t="s">
        <v>70</v>
      </c>
      <c r="B56" s="266"/>
      <c r="C56" s="266">
        <v>205.62200000000001</v>
      </c>
      <c r="D56" s="266">
        <v>197.221</v>
      </c>
      <c r="E56" s="267">
        <f>SUM(B56:D56)</f>
        <v>402.84300000000002</v>
      </c>
      <c r="F56" s="267">
        <v>310.26100000000002</v>
      </c>
      <c r="G56" s="267">
        <v>625.774</v>
      </c>
      <c r="H56" s="236">
        <f>SUM(F56:G56)</f>
        <v>936.03500000000008</v>
      </c>
      <c r="I56" s="236"/>
      <c r="J56" s="236"/>
      <c r="K56" s="267">
        <v>1516.2940000000001</v>
      </c>
      <c r="L56" s="267">
        <v>4259.9480000000003</v>
      </c>
      <c r="M56" s="236">
        <f>SUM(K56:L56)</f>
        <v>5776.2420000000002</v>
      </c>
      <c r="N56" s="262">
        <f>SUM(B56,C56,D56,F56,G56,K56,L56)+296.969</f>
        <v>7412.0890000000009</v>
      </c>
      <c r="O56" s="238">
        <f>(E56/N56)*100</f>
        <v>5.4349455328990244</v>
      </c>
      <c r="P56" s="238">
        <f>(H56/N56)*100</f>
        <v>12.628491104194781</v>
      </c>
      <c r="Q56" s="239">
        <f>(M56/N56)*100</f>
        <v>77.930014062162499</v>
      </c>
      <c r="R56" s="240"/>
      <c r="S56" s="240"/>
      <c r="T56" s="241">
        <f>(296969/N56/1000)*100</f>
        <v>4.0065493007436901</v>
      </c>
      <c r="U56" s="270"/>
    </row>
    <row r="57" spans="1:21" s="244" customFormat="1" ht="12.75" customHeight="1">
      <c r="A57" s="269" t="s">
        <v>71</v>
      </c>
      <c r="B57" s="266"/>
      <c r="C57" s="266">
        <v>192.10499999999999</v>
      </c>
      <c r="D57" s="266">
        <v>191.37299999999999</v>
      </c>
      <c r="E57" s="267">
        <v>383.47799999999995</v>
      </c>
      <c r="F57" s="267">
        <v>287.19</v>
      </c>
      <c r="G57" s="267">
        <v>612.39599999999996</v>
      </c>
      <c r="H57" s="267">
        <v>885.65900000000011</v>
      </c>
      <c r="I57" s="267"/>
      <c r="J57" s="267"/>
      <c r="K57" s="267">
        <v>1599.77</v>
      </c>
      <c r="L57" s="267">
        <v>4516.308</v>
      </c>
      <c r="M57" s="267">
        <v>6144.6419999999998</v>
      </c>
      <c r="N57" s="262">
        <f>SUM(E57,H57,M57)+325.452</f>
        <v>7739.2310000000007</v>
      </c>
      <c r="O57" s="238">
        <f>(E57/N57)*100</f>
        <v>4.9549884219762914</v>
      </c>
      <c r="P57" s="238">
        <f>(H57/N57)*100</f>
        <v>11.443759722380687</v>
      </c>
      <c r="Q57" s="239">
        <f>(M57/N57)*100</f>
        <v>79.39602784824487</v>
      </c>
      <c r="R57" s="240"/>
      <c r="S57" s="240"/>
      <c r="T57" s="268">
        <v>4.2052240073981508</v>
      </c>
      <c r="U57" s="270"/>
    </row>
    <row r="58" spans="1:21" s="244" customFormat="1" ht="12.75" customHeight="1">
      <c r="A58" s="269" t="s">
        <v>163</v>
      </c>
      <c r="B58" s="266"/>
      <c r="C58" s="266"/>
      <c r="D58" s="266">
        <v>374.46800000000002</v>
      </c>
      <c r="E58" s="267">
        <v>374.46800000000002</v>
      </c>
      <c r="F58" s="267">
        <v>255.33</v>
      </c>
      <c r="G58" s="267">
        <v>541.42600000000004</v>
      </c>
      <c r="H58" s="267">
        <v>796.75600000000009</v>
      </c>
      <c r="I58" s="267">
        <v>840.01099999999997</v>
      </c>
      <c r="J58" s="267">
        <v>2613.0329999999999</v>
      </c>
      <c r="K58" s="267">
        <f>1007.809+840.011</f>
        <v>1847.82</v>
      </c>
      <c r="L58" s="267">
        <f>2613.033+1621.57</f>
        <v>4234.6030000000001</v>
      </c>
      <c r="M58" s="267">
        <v>6097.0609999999997</v>
      </c>
      <c r="N58" s="262">
        <f>SUM(E58,H58,M58)+27.249+265.752+60.669</f>
        <v>7621.9549999999999</v>
      </c>
      <c r="O58" s="238">
        <f>(E58/N58)*100</f>
        <v>4.9130177231432093</v>
      </c>
      <c r="P58" s="238">
        <f>(H58/N58)*100</f>
        <v>10.453433535096968</v>
      </c>
      <c r="Q58" s="239">
        <f>(M58/N58)*100</f>
        <v>79.993400643273276</v>
      </c>
      <c r="R58" s="240">
        <v>11.020938853614329</v>
      </c>
      <c r="S58" s="240">
        <v>34.282975955643927</v>
      </c>
      <c r="T58" s="268">
        <v>4.6401480984865433</v>
      </c>
      <c r="U58" s="270"/>
    </row>
    <row r="59" spans="1:21" s="244" customFormat="1" ht="12.75" hidden="1" customHeight="1">
      <c r="A59" s="269" t="s">
        <v>72</v>
      </c>
      <c r="B59" s="266"/>
      <c r="C59" s="266"/>
      <c r="D59" s="266"/>
      <c r="E59" s="267">
        <v>369.017</v>
      </c>
      <c r="F59" s="267">
        <v>261.65800000000002</v>
      </c>
      <c r="G59" s="267">
        <v>622.65899999999999</v>
      </c>
      <c r="H59" s="236">
        <f>SUM(F59:G59)</f>
        <v>884.31700000000001</v>
      </c>
      <c r="I59" s="236">
        <v>1056.212</v>
      </c>
      <c r="J59" s="236">
        <v>2456.6109999999999</v>
      </c>
      <c r="K59" s="267">
        <f>835.145+1056.212</f>
        <v>1891.357</v>
      </c>
      <c r="L59" s="267">
        <f>2465.611+1812.335</f>
        <v>4277.9459999999999</v>
      </c>
      <c r="M59" s="271">
        <f>SUM(K59:L59)</f>
        <v>6169.3029999999999</v>
      </c>
      <c r="N59" s="262">
        <f>SUM(E59,H59,K59,L59)+349.108</f>
        <v>7771.7449999999999</v>
      </c>
      <c r="O59" s="238">
        <v>4.7481871831873024</v>
      </c>
      <c r="P59" s="238">
        <v>11.378615742024476</v>
      </c>
      <c r="Q59" s="239">
        <v>79.381181446380438</v>
      </c>
      <c r="R59" s="240">
        <v>13.590409875774359</v>
      </c>
      <c r="S59" s="240">
        <v>31.609516266938765</v>
      </c>
      <c r="T59" s="268">
        <v>4.4920156284077768</v>
      </c>
      <c r="U59" s="270"/>
    </row>
    <row r="60" spans="1:21" s="244" customFormat="1" ht="12.75" hidden="1" customHeight="1">
      <c r="A60" s="269" t="s">
        <v>73</v>
      </c>
      <c r="B60" s="266"/>
      <c r="C60" s="266"/>
      <c r="D60" s="266"/>
      <c r="E60" s="267">
        <v>355.125</v>
      </c>
      <c r="F60" s="267">
        <v>251.28200000000001</v>
      </c>
      <c r="G60" s="267">
        <v>533.15499999999997</v>
      </c>
      <c r="H60" s="236">
        <v>784.43700000000001</v>
      </c>
      <c r="I60" s="236">
        <v>1207.77</v>
      </c>
      <c r="J60" s="236">
        <v>2580.1489999999999</v>
      </c>
      <c r="K60" s="267">
        <v>2038.7289999999998</v>
      </c>
      <c r="L60" s="267">
        <v>4424.7020000000002</v>
      </c>
      <c r="M60" s="271">
        <v>6463.4309999999996</v>
      </c>
      <c r="N60" s="262">
        <v>7933.4219999999996</v>
      </c>
      <c r="O60" s="238">
        <v>4.4763155168097697</v>
      </c>
      <c r="P60" s="238">
        <v>9.887750834381432</v>
      </c>
      <c r="Q60" s="239">
        <v>81.470908770515422</v>
      </c>
      <c r="R60" s="240">
        <v>15.223821448046001</v>
      </c>
      <c r="S60" s="240">
        <v>32.52252306759933</v>
      </c>
      <c r="T60" s="268">
        <v>4.1650248782933765</v>
      </c>
      <c r="U60" s="270"/>
    </row>
    <row r="61" spans="1:21" s="244" customFormat="1" ht="12.75" hidden="1" customHeight="1">
      <c r="A61" s="269" t="s">
        <v>74</v>
      </c>
      <c r="B61" s="266"/>
      <c r="C61" s="266"/>
      <c r="D61" s="266"/>
      <c r="E61" s="267">
        <v>336.89600000000002</v>
      </c>
      <c r="F61" s="267">
        <v>258.83999999999997</v>
      </c>
      <c r="G61" s="267">
        <v>576.56100000000004</v>
      </c>
      <c r="H61" s="236">
        <v>835.40100000000007</v>
      </c>
      <c r="I61" s="236">
        <v>1088.0530000000001</v>
      </c>
      <c r="J61" s="236">
        <v>2461.3380000000002</v>
      </c>
      <c r="K61" s="267">
        <v>1859.2740000000001</v>
      </c>
      <c r="L61" s="267">
        <v>4402.55</v>
      </c>
      <c r="M61" s="271">
        <v>6261.8240000000005</v>
      </c>
      <c r="N61" s="262">
        <v>7761.8690000000006</v>
      </c>
      <c r="O61" s="238">
        <f t="shared" ref="O61:O70" si="14">(E61/N61)*100</f>
        <v>4.3403979118946738</v>
      </c>
      <c r="P61" s="238">
        <f t="shared" ref="P61:P67" si="15">(H61/N61)*100</f>
        <v>10.76288455783008</v>
      </c>
      <c r="Q61" s="239">
        <f t="shared" ref="Q61:Q70" si="16">(M61/N61)*100</f>
        <v>80.674177830107681</v>
      </c>
      <c r="R61" s="240">
        <v>14.017925321852251</v>
      </c>
      <c r="S61" s="240">
        <v>31.710635672928777</v>
      </c>
      <c r="T61" s="268">
        <v>4.2225397001675757</v>
      </c>
      <c r="U61" s="270"/>
    </row>
    <row r="62" spans="1:21" s="244" customFormat="1" ht="12.75" customHeight="1">
      <c r="A62" s="269" t="s">
        <v>75</v>
      </c>
      <c r="B62" s="266"/>
      <c r="C62" s="266"/>
      <c r="D62" s="266"/>
      <c r="E62" s="267">
        <v>338.49799999999999</v>
      </c>
      <c r="F62" s="267">
        <v>240.96199999999999</v>
      </c>
      <c r="G62" s="267">
        <v>539.97199999999998</v>
      </c>
      <c r="H62" s="236">
        <v>780.93399999999997</v>
      </c>
      <c r="I62" s="236">
        <v>932.77200000000005</v>
      </c>
      <c r="J62" s="236">
        <v>2623.6759999999999</v>
      </c>
      <c r="K62" s="267">
        <v>1707.135</v>
      </c>
      <c r="L62" s="267">
        <v>4606.3249999999998</v>
      </c>
      <c r="M62" s="271">
        <v>6313.46</v>
      </c>
      <c r="N62" s="262">
        <v>7773.192</v>
      </c>
      <c r="O62" s="238">
        <f t="shared" si="14"/>
        <v>4.354684664935589</v>
      </c>
      <c r="P62" s="238">
        <f t="shared" si="15"/>
        <v>10.046503418415497</v>
      </c>
      <c r="Q62" s="239">
        <f t="shared" si="16"/>
        <v>81.220945012036239</v>
      </c>
      <c r="R62" s="240">
        <v>11.999857973403977</v>
      </c>
      <c r="S62" s="240">
        <v>33.752877839631388</v>
      </c>
      <c r="T62" s="268">
        <v>4.3778669046126737</v>
      </c>
      <c r="U62" s="270"/>
    </row>
    <row r="63" spans="1:21" s="244" customFormat="1" ht="12.75" customHeight="1">
      <c r="A63" s="269" t="s">
        <v>76</v>
      </c>
      <c r="B63" s="266"/>
      <c r="C63" s="266"/>
      <c r="D63" s="266"/>
      <c r="E63" s="267">
        <v>338.048</v>
      </c>
      <c r="F63" s="267">
        <v>222.452</v>
      </c>
      <c r="G63" s="267">
        <v>491.46199999999999</v>
      </c>
      <c r="H63" s="236">
        <v>713.91399999999999</v>
      </c>
      <c r="I63" s="236">
        <v>842.35299999999995</v>
      </c>
      <c r="J63" s="236">
        <v>2598.3890000000001</v>
      </c>
      <c r="K63" s="267">
        <v>1701.1859999999999</v>
      </c>
      <c r="L63" s="267">
        <v>4981.2749999999996</v>
      </c>
      <c r="M63" s="271">
        <v>6682.4609999999993</v>
      </c>
      <c r="N63" s="262">
        <v>8112.204999999999</v>
      </c>
      <c r="O63" s="238">
        <f t="shared" si="14"/>
        <v>4.1671530736710931</v>
      </c>
      <c r="P63" s="238">
        <f t="shared" si="15"/>
        <v>8.8004925911019267</v>
      </c>
      <c r="Q63" s="239">
        <f t="shared" si="16"/>
        <v>82.375396085281366</v>
      </c>
      <c r="R63" s="240">
        <v>10.383773585603421</v>
      </c>
      <c r="S63" s="240">
        <v>32.030613131694778</v>
      </c>
      <c r="T63" s="268">
        <v>4.6569582499456068</v>
      </c>
      <c r="U63" s="270"/>
    </row>
    <row r="64" spans="1:21" s="244" customFormat="1" ht="12.75" customHeight="1">
      <c r="A64" s="269" t="s">
        <v>77</v>
      </c>
      <c r="B64" s="266"/>
      <c r="C64" s="266"/>
      <c r="D64" s="266"/>
      <c r="E64" s="267">
        <v>337.99099999999999</v>
      </c>
      <c r="F64" s="267">
        <v>183.066</v>
      </c>
      <c r="G64" s="267">
        <v>528.75400000000002</v>
      </c>
      <c r="H64" s="236">
        <f>SUM(F64:G64)</f>
        <v>711.82</v>
      </c>
      <c r="I64" s="236">
        <v>962.73699999999997</v>
      </c>
      <c r="J64" s="236">
        <v>2376.9090000000001</v>
      </c>
      <c r="K64" s="267">
        <f>840.318+I64</f>
        <v>1803.0549999999998</v>
      </c>
      <c r="L64" s="267">
        <f>J64+2330.812</f>
        <v>4707.7209999999995</v>
      </c>
      <c r="M64" s="271">
        <f>K64+L64</f>
        <v>6510.7759999999998</v>
      </c>
      <c r="N64" s="262">
        <f>SUM(E64,H64,M64)+379.908</f>
        <v>7940.4949999999999</v>
      </c>
      <c r="O64" s="238">
        <f t="shared" si="14"/>
        <v>4.256548237861745</v>
      </c>
      <c r="P64" s="238">
        <f t="shared" si="15"/>
        <v>8.9644285400343442</v>
      </c>
      <c r="Q64" s="239">
        <f t="shared" si="16"/>
        <v>81.994585979841304</v>
      </c>
      <c r="R64" s="240">
        <v>12.124395267549442</v>
      </c>
      <c r="S64" s="240">
        <v>29.934015448659057</v>
      </c>
      <c r="T64" s="268">
        <v>4.7844372422626051</v>
      </c>
      <c r="U64" s="270"/>
    </row>
    <row r="65" spans="1:21" s="244" customFormat="1" ht="12.75" customHeight="1">
      <c r="A65" s="269" t="s">
        <v>78</v>
      </c>
      <c r="B65" s="266"/>
      <c r="C65" s="266"/>
      <c r="D65" s="266"/>
      <c r="E65" s="267">
        <v>317.92899999999997</v>
      </c>
      <c r="F65" s="267">
        <v>204.01</v>
      </c>
      <c r="G65" s="267">
        <v>467.33499999999998</v>
      </c>
      <c r="H65" s="236">
        <v>671.34500000000003</v>
      </c>
      <c r="I65" s="236">
        <v>1062.0940000000001</v>
      </c>
      <c r="J65" s="236">
        <v>2440.44</v>
      </c>
      <c r="K65" s="267">
        <v>1737.9470000000001</v>
      </c>
      <c r="L65" s="267">
        <v>5022.7730000000001</v>
      </c>
      <c r="M65" s="271">
        <v>6760.72</v>
      </c>
      <c r="N65" s="262">
        <f>SUM(E65,H65,M65)+438.623</f>
        <v>8188.6170000000002</v>
      </c>
      <c r="O65" s="238">
        <f t="shared" si="14"/>
        <v>3.8825726004769785</v>
      </c>
      <c r="P65" s="238">
        <f t="shared" si="15"/>
        <v>8.1985150850259583</v>
      </c>
      <c r="Q65" s="239">
        <f t="shared" si="16"/>
        <v>82.562415606933385</v>
      </c>
      <c r="R65" s="240"/>
      <c r="S65" s="240"/>
      <c r="T65" s="268">
        <v>5.3564967075636822</v>
      </c>
      <c r="U65" s="270"/>
    </row>
    <row r="66" spans="1:21" s="244" customFormat="1" ht="12.75" customHeight="1">
      <c r="A66" s="272" t="s">
        <v>79</v>
      </c>
      <c r="B66" s="266"/>
      <c r="C66" s="266"/>
      <c r="D66" s="266"/>
      <c r="E66" s="273">
        <v>316.93799999999999</v>
      </c>
      <c r="F66" s="267">
        <v>187.07499999999999</v>
      </c>
      <c r="G66" s="267">
        <v>447.15800000000002</v>
      </c>
      <c r="H66" s="236">
        <f>SUM(F66:G66)</f>
        <v>634.23299999999995</v>
      </c>
      <c r="I66" s="236">
        <v>1164.0609999999999</v>
      </c>
      <c r="J66" s="236">
        <v>2069.1819999999998</v>
      </c>
      <c r="K66" s="267">
        <f>652.238+I66</f>
        <v>1816.299</v>
      </c>
      <c r="L66" s="267">
        <f>J66+2811.683</f>
        <v>4880.8649999999998</v>
      </c>
      <c r="M66" s="271">
        <f>K66+L66</f>
        <v>6697.1639999999998</v>
      </c>
      <c r="N66" s="262">
        <f>SUM(E66,H66,M66)+382.562</f>
        <v>8030.8969999999999</v>
      </c>
      <c r="O66" s="238">
        <f t="shared" si="14"/>
        <v>3.9464831886151694</v>
      </c>
      <c r="P66" s="238">
        <f t="shared" si="15"/>
        <v>7.8974117088041345</v>
      </c>
      <c r="Q66" s="239">
        <f t="shared" si="16"/>
        <v>83.392477826574037</v>
      </c>
      <c r="R66" s="274">
        <v>14.494781840683549</v>
      </c>
      <c r="S66" s="274">
        <v>25.765266320810738</v>
      </c>
      <c r="T66" s="268">
        <v>4.7636272760066527</v>
      </c>
      <c r="U66" s="270"/>
    </row>
    <row r="67" spans="1:21" s="244" customFormat="1">
      <c r="A67" s="269" t="s">
        <v>80</v>
      </c>
      <c r="B67" s="266"/>
      <c r="C67" s="266"/>
      <c r="D67" s="266"/>
      <c r="E67" s="267">
        <v>302.34399999999999</v>
      </c>
      <c r="F67" s="267">
        <v>187.07499999999999</v>
      </c>
      <c r="G67" s="267">
        <v>447.15800000000002</v>
      </c>
      <c r="H67" s="236">
        <v>565.89</v>
      </c>
      <c r="I67" s="236">
        <v>1164.0609999999999</v>
      </c>
      <c r="J67" s="236">
        <v>2069.1819999999998</v>
      </c>
      <c r="K67" s="267">
        <v>1816.299</v>
      </c>
      <c r="L67" s="267">
        <v>4880.8649999999998</v>
      </c>
      <c r="M67" s="275">
        <v>7050.0280000000002</v>
      </c>
      <c r="N67" s="262">
        <f>SUM(E67,H67,M67)+396.898</f>
        <v>8315.16</v>
      </c>
      <c r="O67" s="238">
        <f t="shared" si="14"/>
        <v>3.6360575142270264</v>
      </c>
      <c r="P67" s="238">
        <f t="shared" si="15"/>
        <v>6.8055214812463021</v>
      </c>
      <c r="Q67" s="239">
        <f t="shared" si="16"/>
        <v>84.785235641887837</v>
      </c>
      <c r="R67" s="240">
        <f>(I67/N67)*100</f>
        <v>13.999261589674761</v>
      </c>
      <c r="S67" s="240">
        <f>(J67/N67)*100</f>
        <v>24.88445201294984</v>
      </c>
      <c r="T67" s="268">
        <f>(396.898/N67)*100</f>
        <v>4.7731853626388432</v>
      </c>
      <c r="U67" s="270"/>
    </row>
    <row r="68" spans="1:21" s="244" customFormat="1">
      <c r="A68" s="269" t="s">
        <v>81</v>
      </c>
      <c r="B68" s="266"/>
      <c r="C68" s="266"/>
      <c r="D68" s="266"/>
      <c r="E68" s="267">
        <v>285.07100000000003</v>
      </c>
      <c r="F68" s="267">
        <v>187.07499999999999</v>
      </c>
      <c r="G68" s="267">
        <v>447.15800000000002</v>
      </c>
      <c r="H68" s="236">
        <f>181.162+378.525-2.426</f>
        <v>557.26099999999997</v>
      </c>
      <c r="I68" s="236">
        <v>1164.0609999999999</v>
      </c>
      <c r="J68" s="236">
        <v>2069.1819999999998</v>
      </c>
      <c r="K68" s="267">
        <v>1816.299</v>
      </c>
      <c r="L68" s="267">
        <v>4880.8649999999998</v>
      </c>
      <c r="M68" s="275">
        <f>709.885-37.63+1139.543+5750.449-404.102</f>
        <v>7158.1449999999995</v>
      </c>
      <c r="N68" s="262">
        <f>SUM(E68,H68,M68)+444.158</f>
        <v>8444.6350000000002</v>
      </c>
      <c r="O68" s="238">
        <f t="shared" si="14"/>
        <v>3.375764612680122</v>
      </c>
      <c r="P68" s="238">
        <f>(H68/N68)*100</f>
        <v>6.5989945095317912</v>
      </c>
      <c r="Q68" s="239">
        <f t="shared" si="16"/>
        <v>84.765593776403591</v>
      </c>
      <c r="R68" s="240">
        <f>(I68/N68)*100</f>
        <v>13.784621833862564</v>
      </c>
      <c r="S68" s="240">
        <f>(J68/N68)*100</f>
        <v>24.502918124939676</v>
      </c>
      <c r="T68" s="268">
        <f>(444.158/N68)*100</f>
        <v>5.2596471013844885</v>
      </c>
      <c r="U68" s="270"/>
    </row>
    <row r="69" spans="1:21" s="244" customFormat="1">
      <c r="A69" s="269" t="s">
        <v>82</v>
      </c>
      <c r="B69" s="266"/>
      <c r="C69" s="266"/>
      <c r="D69" s="266"/>
      <c r="E69" s="267">
        <v>277.68099999999998</v>
      </c>
      <c r="F69" s="267">
        <v>187.07499999999999</v>
      </c>
      <c r="G69" s="267">
        <v>447.15800000000002</v>
      </c>
      <c r="H69" s="236">
        <v>583.34400000000005</v>
      </c>
      <c r="I69" s="236">
        <v>1164.0609999999999</v>
      </c>
      <c r="J69" s="236">
        <v>2069.1819999999998</v>
      </c>
      <c r="K69" s="267">
        <v>1816.299</v>
      </c>
      <c r="L69" s="267">
        <v>4880.8649999999998</v>
      </c>
      <c r="M69" s="275">
        <v>6945.2860000000001</v>
      </c>
      <c r="N69" s="262">
        <v>8211.9989999999998</v>
      </c>
      <c r="O69" s="238">
        <v>3.3814056723582162</v>
      </c>
      <c r="P69" s="238">
        <v>7.1035566370624261</v>
      </c>
      <c r="Q69" s="239">
        <v>84.574851994015106</v>
      </c>
      <c r="R69" s="240">
        <v>14.175123499162629</v>
      </c>
      <c r="S69" s="240">
        <v>25.19705616135608</v>
      </c>
      <c r="T69" s="268">
        <v>4.9401856965642592</v>
      </c>
      <c r="U69" s="270"/>
    </row>
    <row r="70" spans="1:21" s="244" customFormat="1" ht="14.25">
      <c r="A70" s="276" t="s">
        <v>164</v>
      </c>
      <c r="B70" s="277"/>
      <c r="C70" s="277"/>
      <c r="D70" s="277"/>
      <c r="E70" s="278">
        <v>213.65199999999999</v>
      </c>
      <c r="F70" s="278">
        <v>187.07499999999999</v>
      </c>
      <c r="G70" s="278">
        <v>447.15800000000002</v>
      </c>
      <c r="H70" s="279">
        <v>538.721</v>
      </c>
      <c r="I70" s="279">
        <v>1164.0609999999999</v>
      </c>
      <c r="J70" s="279">
        <v>2069.1819999999998</v>
      </c>
      <c r="K70" s="278">
        <v>1816.299</v>
      </c>
      <c r="L70" s="278">
        <v>4880.8649999999998</v>
      </c>
      <c r="M70" s="280">
        <v>7280.1019999999999</v>
      </c>
      <c r="N70" s="281">
        <f>SUM(E70,H70,M70)+415.469</f>
        <v>8447.9439999999995</v>
      </c>
      <c r="O70" s="282">
        <f t="shared" si="14"/>
        <v>2.5290413856910039</v>
      </c>
      <c r="P70" s="282">
        <f>(H70/N70)*100</f>
        <v>6.3769480479510756</v>
      </c>
      <c r="Q70" s="283">
        <f t="shared" si="16"/>
        <v>86.176021053169862</v>
      </c>
      <c r="R70" s="284">
        <f>(I70/N70)*100</f>
        <v>13.779222494846083</v>
      </c>
      <c r="S70" s="284">
        <f>(J70/N70)*100</f>
        <v>24.493320504965467</v>
      </c>
      <c r="T70" s="285">
        <f>(415.469/N70)*100</f>
        <v>4.9179895131880613</v>
      </c>
      <c r="U70" s="270"/>
    </row>
    <row r="71" spans="1:21" s="244" customFormat="1">
      <c r="A71" s="286"/>
      <c r="B71" s="266"/>
      <c r="C71" s="266"/>
      <c r="D71" s="266"/>
      <c r="E71" s="266"/>
      <c r="F71" s="266"/>
      <c r="G71" s="266"/>
      <c r="H71" s="266"/>
      <c r="I71" s="235"/>
      <c r="J71" s="235"/>
      <c r="K71" s="266"/>
      <c r="L71" s="266"/>
      <c r="M71" s="266"/>
      <c r="N71" s="266"/>
      <c r="O71" s="274"/>
      <c r="P71" s="274"/>
      <c r="Q71" s="274"/>
      <c r="R71" s="274"/>
      <c r="S71" s="274"/>
      <c r="T71" s="274"/>
      <c r="U71" s="270"/>
    </row>
    <row r="72" spans="1:21" s="244" customFormat="1">
      <c r="A72" s="287" t="s">
        <v>83</v>
      </c>
      <c r="B72" s="266"/>
      <c r="C72" s="266"/>
      <c r="D72" s="266"/>
      <c r="E72" s="266"/>
      <c r="F72" s="266"/>
      <c r="G72" s="266"/>
      <c r="H72" s="235"/>
      <c r="I72" s="235"/>
      <c r="J72" s="235"/>
      <c r="K72" s="266"/>
      <c r="L72" s="266"/>
      <c r="N72" s="288"/>
      <c r="O72" s="274"/>
      <c r="P72" s="274"/>
      <c r="Q72" s="274"/>
      <c r="R72" s="274"/>
      <c r="S72" s="274"/>
      <c r="T72" s="274"/>
      <c r="U72" s="270"/>
    </row>
    <row r="73" spans="1:21" s="244" customFormat="1">
      <c r="A73" s="286"/>
      <c r="B73" s="266"/>
      <c r="C73" s="266"/>
      <c r="D73" s="266"/>
      <c r="E73" s="266"/>
      <c r="F73" s="266"/>
      <c r="G73" s="266"/>
      <c r="H73" s="235"/>
      <c r="I73" s="235"/>
      <c r="J73" s="235"/>
      <c r="K73" s="266"/>
      <c r="L73" s="266"/>
      <c r="N73" s="288"/>
      <c r="O73" s="274"/>
      <c r="P73" s="274"/>
      <c r="Q73" s="274"/>
      <c r="R73" s="274"/>
      <c r="S73" s="274"/>
      <c r="T73" s="274"/>
      <c r="U73" s="270"/>
    </row>
    <row r="74" spans="1:21" ht="14.25" customHeight="1">
      <c r="A74" s="204" t="s">
        <v>165</v>
      </c>
      <c r="N74" s="289"/>
    </row>
    <row r="75" spans="1:21" ht="11.25" customHeight="1">
      <c r="A75" s="208"/>
      <c r="B75" s="209"/>
      <c r="C75" s="209"/>
      <c r="D75" s="209"/>
      <c r="E75" s="210" t="s">
        <v>140</v>
      </c>
      <c r="F75" s="210"/>
      <c r="G75" s="210"/>
      <c r="H75" s="210"/>
      <c r="I75" s="210"/>
      <c r="J75" s="210"/>
      <c r="K75" s="210"/>
      <c r="L75" s="210"/>
      <c r="M75" s="210"/>
      <c r="N75" s="210"/>
      <c r="O75" s="290" t="s">
        <v>166</v>
      </c>
      <c r="P75" s="210"/>
      <c r="Q75" s="291"/>
      <c r="R75" s="212"/>
      <c r="S75" s="212"/>
      <c r="T75" s="292"/>
      <c r="U75" s="244"/>
    </row>
    <row r="76" spans="1:21" ht="11.25" customHeight="1">
      <c r="A76" s="214"/>
      <c r="B76" s="215"/>
      <c r="C76" s="216">
        <v>500</v>
      </c>
      <c r="D76" s="217">
        <v>2500</v>
      </c>
      <c r="E76" s="217" t="s">
        <v>142</v>
      </c>
      <c r="F76" s="217">
        <v>5000</v>
      </c>
      <c r="G76" s="217">
        <v>10000</v>
      </c>
      <c r="H76" s="217" t="s">
        <v>26</v>
      </c>
      <c r="I76" s="217">
        <v>50000</v>
      </c>
      <c r="J76" s="217">
        <v>100000</v>
      </c>
      <c r="K76" s="217">
        <v>25000</v>
      </c>
      <c r="L76" s="215"/>
      <c r="M76" s="215"/>
      <c r="N76" s="208"/>
      <c r="O76" s="218" t="s">
        <v>142</v>
      </c>
      <c r="P76" s="217" t="s">
        <v>26</v>
      </c>
      <c r="Q76" s="219"/>
      <c r="R76" s="217">
        <v>50000</v>
      </c>
      <c r="S76" s="217">
        <v>100000</v>
      </c>
      <c r="T76" s="293"/>
      <c r="U76" s="244"/>
    </row>
    <row r="77" spans="1:21" ht="14.25">
      <c r="A77" s="220" t="s">
        <v>143</v>
      </c>
      <c r="B77" s="221" t="s">
        <v>22</v>
      </c>
      <c r="C77" s="221" t="s">
        <v>22</v>
      </c>
      <c r="D77" s="221" t="s">
        <v>22</v>
      </c>
      <c r="E77" s="221" t="s">
        <v>22</v>
      </c>
      <c r="F77" s="221" t="s">
        <v>22</v>
      </c>
      <c r="G77" s="221" t="s">
        <v>22</v>
      </c>
      <c r="H77" s="221" t="s">
        <v>22</v>
      </c>
      <c r="I77" s="221" t="s">
        <v>22</v>
      </c>
      <c r="J77" s="221" t="s">
        <v>22</v>
      </c>
      <c r="K77" s="221" t="s">
        <v>22</v>
      </c>
      <c r="L77" s="222" t="s">
        <v>144</v>
      </c>
      <c r="M77" s="222" t="s">
        <v>27</v>
      </c>
      <c r="N77" s="220" t="s">
        <v>167</v>
      </c>
      <c r="O77" s="223" t="s">
        <v>22</v>
      </c>
      <c r="P77" s="221" t="s">
        <v>22</v>
      </c>
      <c r="Q77" s="224" t="s">
        <v>27</v>
      </c>
      <c r="R77" s="294" t="s">
        <v>22</v>
      </c>
      <c r="S77" s="294" t="s">
        <v>22</v>
      </c>
      <c r="T77" s="293"/>
      <c r="U77" s="244"/>
    </row>
    <row r="78" spans="1:21" ht="11.25" customHeight="1">
      <c r="A78" s="225"/>
      <c r="B78" s="226" t="s">
        <v>146</v>
      </c>
      <c r="C78" s="226" t="s">
        <v>147</v>
      </c>
      <c r="D78" s="226" t="s">
        <v>148</v>
      </c>
      <c r="E78" s="226" t="s">
        <v>26</v>
      </c>
      <c r="F78" s="226" t="s">
        <v>149</v>
      </c>
      <c r="G78" s="226" t="s">
        <v>150</v>
      </c>
      <c r="H78" s="226" t="s">
        <v>27</v>
      </c>
      <c r="I78" s="226" t="s">
        <v>144</v>
      </c>
      <c r="J78" s="226" t="s">
        <v>151</v>
      </c>
      <c r="K78" s="226" t="s">
        <v>144</v>
      </c>
      <c r="L78" s="227" t="s">
        <v>29</v>
      </c>
      <c r="M78" s="227" t="s">
        <v>29</v>
      </c>
      <c r="N78" s="228"/>
      <c r="O78" s="229" t="s">
        <v>26</v>
      </c>
      <c r="P78" s="226" t="s">
        <v>27</v>
      </c>
      <c r="Q78" s="230" t="s">
        <v>29</v>
      </c>
      <c r="R78" s="226" t="s">
        <v>144</v>
      </c>
      <c r="S78" s="226" t="s">
        <v>151</v>
      </c>
      <c r="T78" s="293"/>
      <c r="U78" s="244"/>
    </row>
    <row r="79" spans="1:21">
      <c r="A79" s="293"/>
      <c r="B79" s="244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95" t="s">
        <v>87</v>
      </c>
      <c r="O79" s="244"/>
      <c r="P79" s="244"/>
      <c r="Q79" s="296"/>
      <c r="T79" s="244"/>
      <c r="U79" s="244"/>
    </row>
    <row r="80" spans="1:21">
      <c r="A80" s="297" t="s">
        <v>71</v>
      </c>
      <c r="B80" s="215"/>
      <c r="C80" s="215"/>
      <c r="D80" s="215"/>
      <c r="E80" s="298">
        <v>35.938000000000002</v>
      </c>
      <c r="F80" s="299"/>
      <c r="G80" s="299"/>
      <c r="H80" s="298">
        <f>43.742+47.449</f>
        <v>91.191000000000003</v>
      </c>
      <c r="I80" s="299">
        <f>47.449</f>
        <v>47.448999999999998</v>
      </c>
      <c r="J80" s="298">
        <v>43.741999999999997</v>
      </c>
      <c r="K80" s="299">
        <f>47.449</f>
        <v>47.448999999999998</v>
      </c>
      <c r="L80" s="298">
        <v>43.741999999999997</v>
      </c>
      <c r="M80" s="298">
        <f>192.566+1728.576</f>
        <v>1921.1420000000001</v>
      </c>
      <c r="N80" s="300">
        <f>SUM(E80,H80,M80)</f>
        <v>2048.2710000000002</v>
      </c>
      <c r="O80" s="301">
        <f>(E80/N80)*100</f>
        <v>1.7545529863968197</v>
      </c>
      <c r="P80" s="302">
        <f>(H80/N80)*100</f>
        <v>4.4520964266935383</v>
      </c>
      <c r="Q80" s="303">
        <f>(M80/N80)*100</f>
        <v>93.793350586909639</v>
      </c>
      <c r="R80" s="215"/>
      <c r="S80" s="215"/>
      <c r="T80" s="304"/>
      <c r="U80" s="305"/>
    </row>
    <row r="81" spans="1:21">
      <c r="A81" s="306" t="s">
        <v>168</v>
      </c>
      <c r="B81" s="244"/>
      <c r="C81" s="244"/>
      <c r="D81" s="244"/>
      <c r="E81" s="307">
        <v>24.231999999999999</v>
      </c>
      <c r="F81" s="308"/>
      <c r="G81" s="308"/>
      <c r="H81" s="307">
        <f>37.643+58.903</f>
        <v>96.545999999999992</v>
      </c>
      <c r="I81" s="309">
        <v>58.902999999999999</v>
      </c>
      <c r="J81" s="307">
        <v>37.643000000000001</v>
      </c>
      <c r="K81" s="307">
        <v>58.902999999999999</v>
      </c>
      <c r="L81" s="307">
        <v>37.643000000000001</v>
      </c>
      <c r="M81" s="309">
        <f>285.193+1534.318</f>
        <v>1819.511</v>
      </c>
      <c r="N81" s="310">
        <f t="shared" ref="N81:N90" si="17">SUM(E81,H81,M81)</f>
        <v>1940.289</v>
      </c>
      <c r="O81" s="311">
        <f t="shared" ref="O81:O90" si="18">(E81/N81)*100</f>
        <v>1.2488861195419858</v>
      </c>
      <c r="P81" s="238">
        <f t="shared" ref="P81:P90" si="19">(H81/N81)*100</f>
        <v>4.9758566893900857</v>
      </c>
      <c r="Q81" s="239">
        <f t="shared" ref="Q81:Q90" si="20">(M81/N81)*100</f>
        <v>93.775257191067922</v>
      </c>
      <c r="R81" s="244"/>
      <c r="S81" s="244"/>
      <c r="T81" s="304"/>
      <c r="U81" s="305"/>
    </row>
    <row r="82" spans="1:21" hidden="1">
      <c r="A82" s="306" t="s">
        <v>72</v>
      </c>
      <c r="B82" s="244"/>
      <c r="C82" s="244"/>
      <c r="D82" s="244"/>
      <c r="E82" s="307"/>
      <c r="F82" s="308"/>
      <c r="G82" s="308"/>
      <c r="H82" s="307">
        <v>1726980</v>
      </c>
      <c r="I82" s="309">
        <v>27249</v>
      </c>
      <c r="J82" s="307">
        <v>1726980</v>
      </c>
      <c r="K82" s="307">
        <v>27249</v>
      </c>
      <c r="L82" s="307">
        <v>1726980</v>
      </c>
      <c r="M82" s="307">
        <v>27249</v>
      </c>
      <c r="N82" s="310">
        <f t="shared" si="17"/>
        <v>1754229</v>
      </c>
      <c r="O82" s="311">
        <f t="shared" si="18"/>
        <v>0</v>
      </c>
      <c r="P82" s="238">
        <f t="shared" si="19"/>
        <v>98.446668023388057</v>
      </c>
      <c r="Q82" s="239">
        <f t="shared" si="20"/>
        <v>1.5533319766119476</v>
      </c>
      <c r="R82" s="244"/>
      <c r="S82" s="244"/>
      <c r="T82" s="304"/>
      <c r="U82" s="305"/>
    </row>
    <row r="83" spans="1:21" hidden="1">
      <c r="A83" s="306" t="s">
        <v>73</v>
      </c>
      <c r="B83" s="244"/>
      <c r="C83" s="244"/>
      <c r="D83" s="244"/>
      <c r="E83" s="307">
        <v>19.065999999999999</v>
      </c>
      <c r="F83" s="308"/>
      <c r="G83" s="308"/>
      <c r="H83" s="307">
        <f>55.573+45.632</f>
        <v>101.205</v>
      </c>
      <c r="I83" s="309">
        <v>45.631999999999998</v>
      </c>
      <c r="J83" s="307">
        <v>55.573</v>
      </c>
      <c r="K83" s="307">
        <v>45.631999999999998</v>
      </c>
      <c r="L83" s="307">
        <v>55.573</v>
      </c>
      <c r="M83" s="309">
        <f>109.75+1718.063</f>
        <v>1827.8130000000001</v>
      </c>
      <c r="N83" s="310">
        <f t="shared" si="17"/>
        <v>1948.0840000000001</v>
      </c>
      <c r="O83" s="311">
        <f t="shared" si="18"/>
        <v>0.97870523036994295</v>
      </c>
      <c r="P83" s="238">
        <f t="shared" si="19"/>
        <v>5.195104523213578</v>
      </c>
      <c r="Q83" s="239">
        <f t="shared" si="20"/>
        <v>93.826190246416488</v>
      </c>
      <c r="R83" s="244"/>
      <c r="S83" s="244"/>
      <c r="T83" s="304"/>
      <c r="U83" s="305"/>
    </row>
    <row r="84" spans="1:21" hidden="1">
      <c r="A84" s="306" t="s">
        <v>74</v>
      </c>
      <c r="B84" s="244"/>
      <c r="C84" s="244"/>
      <c r="D84" s="244"/>
      <c r="E84" s="307">
        <f>17.158</f>
        <v>17.158000000000001</v>
      </c>
      <c r="F84" s="308"/>
      <c r="G84" s="308"/>
      <c r="H84" s="312">
        <f>33.935+14.722+29.677</f>
        <v>78.334000000000003</v>
      </c>
      <c r="I84" s="308">
        <f>14.722+96.456+38.216</f>
        <v>149.39400000000001</v>
      </c>
      <c r="J84" s="308">
        <f>33.935+29.677</f>
        <v>63.612000000000002</v>
      </c>
      <c r="K84" s="313">
        <f>14.722+96.456+38.216</f>
        <v>149.39400000000001</v>
      </c>
      <c r="L84" s="308">
        <f>33.935+29.677</f>
        <v>63.612000000000002</v>
      </c>
      <c r="M84" s="312">
        <f>96.456+38.216+1657.908</f>
        <v>1792.58</v>
      </c>
      <c r="N84" s="310">
        <f t="shared" si="17"/>
        <v>1888.0719999999999</v>
      </c>
      <c r="O84" s="311">
        <f t="shared" si="18"/>
        <v>0.90875771686672979</v>
      </c>
      <c r="P84" s="238">
        <f t="shared" si="19"/>
        <v>4.1488883898495397</v>
      </c>
      <c r="Q84" s="239">
        <f t="shared" si="20"/>
        <v>94.942353893283737</v>
      </c>
      <c r="R84" s="244"/>
      <c r="S84" s="244"/>
      <c r="T84" s="304"/>
      <c r="U84" s="305"/>
    </row>
    <row r="85" spans="1:21">
      <c r="A85" s="306" t="s">
        <v>75</v>
      </c>
      <c r="B85" s="244"/>
      <c r="C85" s="244"/>
      <c r="D85" s="244"/>
      <c r="E85" s="307">
        <v>16.849</v>
      </c>
      <c r="F85" s="308"/>
      <c r="G85" s="308"/>
      <c r="H85" s="307">
        <v>68.551000000000002</v>
      </c>
      <c r="I85" s="309"/>
      <c r="J85" s="308">
        <v>68.551000000000002</v>
      </c>
      <c r="K85" s="309"/>
      <c r="L85" s="308">
        <v>68.551000000000002</v>
      </c>
      <c r="M85" s="309">
        <f>139.356+1637.477</f>
        <v>1776.8330000000001</v>
      </c>
      <c r="N85" s="310">
        <f t="shared" si="17"/>
        <v>1862.2330000000002</v>
      </c>
      <c r="O85" s="311">
        <f t="shared" si="18"/>
        <v>0.90477399981634932</v>
      </c>
      <c r="P85" s="238">
        <f t="shared" si="19"/>
        <v>3.6811183133367309</v>
      </c>
      <c r="Q85" s="239">
        <f t="shared" si="20"/>
        <v>95.414107686846918</v>
      </c>
      <c r="R85" s="244"/>
      <c r="S85" s="244"/>
      <c r="T85" s="304"/>
      <c r="U85" s="305"/>
    </row>
    <row r="86" spans="1:21">
      <c r="A86" s="306" t="s">
        <v>76</v>
      </c>
      <c r="B86" s="266"/>
      <c r="C86" s="244"/>
      <c r="D86" s="244"/>
      <c r="E86" s="307">
        <v>20.593</v>
      </c>
      <c r="F86" s="308"/>
      <c r="G86" s="308"/>
      <c r="H86" s="307">
        <f>31.651+49.049</f>
        <v>80.7</v>
      </c>
      <c r="I86" s="309">
        <v>49.048999999999999</v>
      </c>
      <c r="J86" s="307">
        <v>31.651</v>
      </c>
      <c r="K86" s="307">
        <v>49.048999999999999</v>
      </c>
      <c r="L86" s="307">
        <v>31.651</v>
      </c>
      <c r="M86" s="309">
        <f>154.709+1657.075</f>
        <v>1811.7840000000001</v>
      </c>
      <c r="N86" s="310">
        <f t="shared" si="17"/>
        <v>1913.0770000000002</v>
      </c>
      <c r="O86" s="311">
        <f t="shared" si="18"/>
        <v>1.0764334106781899</v>
      </c>
      <c r="P86" s="238">
        <f t="shared" si="19"/>
        <v>4.2183351741722888</v>
      </c>
      <c r="Q86" s="239">
        <f t="shared" si="20"/>
        <v>94.705231415149512</v>
      </c>
      <c r="R86" s="244"/>
      <c r="S86" s="244"/>
      <c r="T86" s="304"/>
      <c r="U86" s="305"/>
    </row>
    <row r="87" spans="1:21">
      <c r="A87" s="306" t="s">
        <v>77</v>
      </c>
      <c r="B87" s="244"/>
      <c r="C87" s="244"/>
      <c r="D87" s="244"/>
      <c r="E87" s="307">
        <v>18.611999999999998</v>
      </c>
      <c r="F87" s="308"/>
      <c r="G87" s="308"/>
      <c r="H87" s="307">
        <f>26.279+47.636</f>
        <v>73.915000000000006</v>
      </c>
      <c r="I87" s="309">
        <v>47.636000000000003</v>
      </c>
      <c r="J87" s="307">
        <v>26.279</v>
      </c>
      <c r="K87" s="307">
        <v>47.636000000000003</v>
      </c>
      <c r="L87" s="307">
        <v>26.279</v>
      </c>
      <c r="M87" s="309">
        <f>151.881+1560.678</f>
        <v>1712.5590000000002</v>
      </c>
      <c r="N87" s="310">
        <f t="shared" si="17"/>
        <v>1805.0860000000002</v>
      </c>
      <c r="O87" s="311">
        <f t="shared" si="18"/>
        <v>1.0310866075078968</v>
      </c>
      <c r="P87" s="238">
        <f t="shared" si="19"/>
        <v>4.0948187510179572</v>
      </c>
      <c r="Q87" s="239">
        <f t="shared" si="20"/>
        <v>94.874094641474144</v>
      </c>
      <c r="R87" s="244"/>
      <c r="S87" s="244"/>
      <c r="T87" s="304"/>
      <c r="U87" s="305"/>
    </row>
    <row r="88" spans="1:21">
      <c r="A88" s="306" t="s">
        <v>78</v>
      </c>
      <c r="B88" s="244"/>
      <c r="C88" s="244"/>
      <c r="D88" s="244"/>
      <c r="E88" s="307">
        <v>16.103000000000002</v>
      </c>
      <c r="F88" s="308"/>
      <c r="G88" s="308"/>
      <c r="H88" s="307">
        <f>25.591+53.207</f>
        <v>78.798000000000002</v>
      </c>
      <c r="I88" s="309">
        <v>53.207000000000001</v>
      </c>
      <c r="J88" s="307">
        <v>25.591000000000001</v>
      </c>
      <c r="K88" s="307">
        <v>53.207000000000001</v>
      </c>
      <c r="L88" s="307">
        <v>25.591000000000001</v>
      </c>
      <c r="M88" s="309">
        <f>116.264+1642.83</f>
        <v>1759.0939999999998</v>
      </c>
      <c r="N88" s="310">
        <f t="shared" si="17"/>
        <v>1853.9949999999999</v>
      </c>
      <c r="O88" s="311">
        <f t="shared" si="18"/>
        <v>0.86855681919314787</v>
      </c>
      <c r="P88" s="238">
        <f t="shared" si="19"/>
        <v>4.2501732744694571</v>
      </c>
      <c r="Q88" s="239">
        <f t="shared" si="20"/>
        <v>94.881269906337394</v>
      </c>
      <c r="R88" s="244"/>
      <c r="S88" s="244"/>
      <c r="T88" s="304"/>
      <c r="U88" s="305"/>
    </row>
    <row r="89" spans="1:21">
      <c r="A89" s="306" t="s">
        <v>79</v>
      </c>
      <c r="B89" s="244"/>
      <c r="C89" s="244"/>
      <c r="D89" s="244"/>
      <c r="E89" s="307">
        <f>10.457</f>
        <v>10.457000000000001</v>
      </c>
      <c r="F89" s="308"/>
      <c r="G89" s="308"/>
      <c r="H89" s="307">
        <f>24.167+57.212</f>
        <v>81.379000000000005</v>
      </c>
      <c r="I89" s="309">
        <v>57.212000000000003</v>
      </c>
      <c r="J89" s="307">
        <v>24.167000000000002</v>
      </c>
      <c r="K89" s="307">
        <v>57.212000000000003</v>
      </c>
      <c r="L89" s="307">
        <v>24.167000000000002</v>
      </c>
      <c r="M89" s="309">
        <f>102.687+1530.995</f>
        <v>1633.6819999999998</v>
      </c>
      <c r="N89" s="310">
        <f t="shared" si="17"/>
        <v>1725.5179999999998</v>
      </c>
      <c r="O89" s="311">
        <f t="shared" si="18"/>
        <v>0.60602091661750279</v>
      </c>
      <c r="P89" s="238">
        <f t="shared" si="19"/>
        <v>4.7162069593014975</v>
      </c>
      <c r="Q89" s="239">
        <f t="shared" si="20"/>
        <v>94.677772124080988</v>
      </c>
      <c r="R89" s="244"/>
      <c r="S89" s="244"/>
      <c r="T89" s="304"/>
      <c r="U89" s="305"/>
    </row>
    <row r="90" spans="1:21">
      <c r="A90" s="306" t="s">
        <v>80</v>
      </c>
      <c r="B90" s="244"/>
      <c r="C90" s="244"/>
      <c r="D90" s="244"/>
      <c r="E90" s="307">
        <v>14.585000000000001</v>
      </c>
      <c r="F90" s="308"/>
      <c r="G90" s="308"/>
      <c r="H90" s="314">
        <v>75.822999999999993</v>
      </c>
      <c r="I90" s="315">
        <v>58.244999999999997</v>
      </c>
      <c r="J90" s="314">
        <v>17.577999999999999</v>
      </c>
      <c r="K90" s="314">
        <v>58.244999999999997</v>
      </c>
      <c r="L90" s="314">
        <v>17.577999999999999</v>
      </c>
      <c r="M90" s="309">
        <v>1628.2470000000001</v>
      </c>
      <c r="N90" s="310">
        <f t="shared" si="17"/>
        <v>1718.655</v>
      </c>
      <c r="O90" s="311">
        <f t="shared" si="18"/>
        <v>0.84862872420584712</v>
      </c>
      <c r="P90" s="238">
        <f t="shared" si="19"/>
        <v>4.4117638502200842</v>
      </c>
      <c r="Q90" s="239">
        <f t="shared" si="20"/>
        <v>94.739607425574064</v>
      </c>
      <c r="R90" s="316"/>
      <c r="S90" s="316"/>
      <c r="T90" s="304"/>
      <c r="U90" s="305"/>
    </row>
    <row r="91" spans="1:21">
      <c r="A91" s="306" t="s">
        <v>81</v>
      </c>
      <c r="B91" s="244"/>
      <c r="C91" s="244"/>
      <c r="D91" s="244"/>
      <c r="E91" s="307">
        <v>9.1859999999999999</v>
      </c>
      <c r="F91" s="308"/>
      <c r="G91" s="308"/>
      <c r="H91" s="314">
        <f>23.838+61.552</f>
        <v>85.39</v>
      </c>
      <c r="I91" s="315">
        <v>58.244999999999997</v>
      </c>
      <c r="J91" s="314">
        <v>17.577999999999999</v>
      </c>
      <c r="K91" s="314">
        <v>58.244999999999997</v>
      </c>
      <c r="L91" s="314">
        <v>17.577999999999999</v>
      </c>
      <c r="M91" s="309">
        <f>32.648+61.789+1578.525-21.692</f>
        <v>1651.27</v>
      </c>
      <c r="N91" s="310">
        <f>SUM(E91,H91,M91)</f>
        <v>1745.846</v>
      </c>
      <c r="O91" s="311">
        <f>(E91/N91)*100</f>
        <v>0.5261632469301416</v>
      </c>
      <c r="P91" s="238">
        <f>(H91/N91)*100</f>
        <v>4.8910384993865437</v>
      </c>
      <c r="Q91" s="239">
        <f>(M91/N91)*100</f>
        <v>94.582798253683308</v>
      </c>
      <c r="R91" s="244"/>
      <c r="S91" s="244"/>
      <c r="T91" s="304"/>
      <c r="U91" s="305"/>
    </row>
    <row r="92" spans="1:21">
      <c r="A92" s="306" t="s">
        <v>82</v>
      </c>
      <c r="B92" s="244"/>
      <c r="C92" s="244"/>
      <c r="D92" s="244"/>
      <c r="E92" s="307">
        <v>18.100000000000001</v>
      </c>
      <c r="F92" s="308"/>
      <c r="G92" s="308"/>
      <c r="H92" s="314">
        <v>98.772999999999996</v>
      </c>
      <c r="I92" s="315">
        <v>58.244999999999997</v>
      </c>
      <c r="J92" s="314">
        <v>17.577999999999999</v>
      </c>
      <c r="K92" s="314">
        <v>58.244999999999997</v>
      </c>
      <c r="L92" s="314">
        <v>17.577999999999999</v>
      </c>
      <c r="M92" s="309">
        <v>1534.009</v>
      </c>
      <c r="N92" s="310">
        <v>1650.8820000000001</v>
      </c>
      <c r="O92" s="311">
        <v>1.0963836300837977</v>
      </c>
      <c r="P92" s="238">
        <v>5.9830442151528693</v>
      </c>
      <c r="Q92" s="239">
        <v>92.92057215476332</v>
      </c>
      <c r="R92" s="244"/>
      <c r="S92" s="244"/>
      <c r="T92" s="304"/>
      <c r="U92" s="305"/>
    </row>
    <row r="93" spans="1:21" ht="14.25">
      <c r="A93" s="276" t="s">
        <v>164</v>
      </c>
      <c r="B93" s="316"/>
      <c r="C93" s="316"/>
      <c r="D93" s="316"/>
      <c r="E93" s="317"/>
      <c r="F93" s="318"/>
      <c r="G93" s="318"/>
      <c r="H93" s="319">
        <v>89.971999999999994</v>
      </c>
      <c r="I93" s="320"/>
      <c r="J93" s="321"/>
      <c r="K93" s="321"/>
      <c r="L93" s="321"/>
      <c r="M93" s="322">
        <v>1704.127</v>
      </c>
      <c r="N93" s="323">
        <f>SUM(E93,H93,M93)</f>
        <v>1794.0989999999999</v>
      </c>
      <c r="O93" s="324"/>
      <c r="P93" s="325">
        <f>(H93/N93)*100</f>
        <v>5.0148849088038059</v>
      </c>
      <c r="Q93" s="283">
        <f>(M93/N93)*100</f>
        <v>94.985115091196192</v>
      </c>
      <c r="R93" s="244"/>
      <c r="S93" s="244"/>
      <c r="T93" s="304"/>
      <c r="U93" s="305"/>
    </row>
    <row r="94" spans="1:21">
      <c r="A94" s="293"/>
      <c r="B94" s="244"/>
      <c r="C94" s="244"/>
      <c r="D94" s="244"/>
      <c r="E94" s="308"/>
      <c r="F94" s="308"/>
      <c r="G94" s="308"/>
      <c r="H94" s="308"/>
      <c r="I94" s="308"/>
      <c r="J94" s="308"/>
      <c r="K94" s="308"/>
      <c r="L94" s="308"/>
      <c r="M94" s="308"/>
      <c r="N94" s="326" t="s">
        <v>88</v>
      </c>
      <c r="O94" s="327"/>
      <c r="P94" s="327"/>
      <c r="Q94" s="328"/>
      <c r="T94" s="244"/>
      <c r="U94" s="244"/>
    </row>
    <row r="95" spans="1:21">
      <c r="A95" s="329" t="s">
        <v>71</v>
      </c>
      <c r="B95" s="215"/>
      <c r="C95" s="215"/>
      <c r="D95" s="215"/>
      <c r="E95" s="330">
        <v>89.028000000000006</v>
      </c>
      <c r="F95" s="299"/>
      <c r="G95" s="299"/>
      <c r="H95" s="298">
        <f>62.484+205.185</f>
        <v>267.66899999999998</v>
      </c>
      <c r="I95" s="299">
        <f>47.449</f>
        <v>47.448999999999998</v>
      </c>
      <c r="J95" s="298">
        <v>43.741999999999997</v>
      </c>
      <c r="K95" s="299">
        <f>47.449</f>
        <v>47.448999999999998</v>
      </c>
      <c r="L95" s="298">
        <v>43.741999999999997</v>
      </c>
      <c r="M95" s="298">
        <f>466.896+1360.342</f>
        <v>1827.2380000000001</v>
      </c>
      <c r="N95" s="300">
        <f>SUM(E95,H95,M95)</f>
        <v>2183.9349999999999</v>
      </c>
      <c r="O95" s="301">
        <f>(E95/N95)*100</f>
        <v>4.0764949506281098</v>
      </c>
      <c r="P95" s="302">
        <f>(H95/N95)*100</f>
        <v>12.256271363387645</v>
      </c>
      <c r="Q95" s="303">
        <f>(M95/N95)*100</f>
        <v>83.667233685984243</v>
      </c>
      <c r="R95" s="215"/>
      <c r="S95" s="215"/>
      <c r="T95" s="331"/>
      <c r="U95" s="305"/>
    </row>
    <row r="96" spans="1:21">
      <c r="A96" s="332" t="s">
        <v>168</v>
      </c>
      <c r="B96" s="244"/>
      <c r="C96" s="244"/>
      <c r="D96" s="244"/>
      <c r="E96" s="309">
        <v>92.686000000000007</v>
      </c>
      <c r="F96" s="308"/>
      <c r="G96" s="308"/>
      <c r="H96" s="307">
        <f>43.918+171.595</f>
        <v>215.51300000000001</v>
      </c>
      <c r="I96" s="309">
        <v>58.902999999999999</v>
      </c>
      <c r="J96" s="307">
        <v>37.643000000000001</v>
      </c>
      <c r="K96" s="307">
        <v>58.902999999999999</v>
      </c>
      <c r="L96" s="307">
        <v>37.643000000000001</v>
      </c>
      <c r="M96" s="307">
        <f>271.28+218.61+1295.615</f>
        <v>1785.5050000000001</v>
      </c>
      <c r="N96" s="310">
        <f t="shared" ref="N96:N105" si="21">SUM(E96,H96,M96)</f>
        <v>2093.7040000000002</v>
      </c>
      <c r="O96" s="311">
        <f t="shared" ref="O96:O105" si="22">(E96/N96)*100</f>
        <v>4.4268912893131027</v>
      </c>
      <c r="P96" s="238">
        <f t="shared" ref="P96:P105" si="23">(H96/N96)*100</f>
        <v>10.293384356145854</v>
      </c>
      <c r="Q96" s="239">
        <f t="shared" ref="Q96:Q105" si="24">(M96/N96)*100</f>
        <v>85.279724354541045</v>
      </c>
      <c r="R96" s="244"/>
      <c r="S96" s="244"/>
      <c r="T96" s="331"/>
      <c r="U96" s="305"/>
    </row>
    <row r="97" spans="1:21" hidden="1">
      <c r="A97" s="332" t="s">
        <v>72</v>
      </c>
      <c r="B97" s="244"/>
      <c r="C97" s="244"/>
      <c r="D97" s="244"/>
      <c r="E97" s="309"/>
      <c r="F97" s="308"/>
      <c r="G97" s="308"/>
      <c r="H97" s="307">
        <v>1938651</v>
      </c>
      <c r="I97" s="309">
        <v>27249</v>
      </c>
      <c r="J97" s="307">
        <v>1726980</v>
      </c>
      <c r="K97" s="307">
        <v>27249</v>
      </c>
      <c r="L97" s="307">
        <v>1726980</v>
      </c>
      <c r="M97" s="307">
        <v>302691</v>
      </c>
      <c r="N97" s="310">
        <f t="shared" si="21"/>
        <v>2241342</v>
      </c>
      <c r="O97" s="311">
        <f t="shared" si="22"/>
        <v>0</v>
      </c>
      <c r="P97" s="238">
        <f t="shared" si="23"/>
        <v>86.495099810738381</v>
      </c>
      <c r="Q97" s="239">
        <f t="shared" si="24"/>
        <v>13.504900189261612</v>
      </c>
      <c r="R97" s="244"/>
      <c r="S97" s="244"/>
      <c r="T97" s="331"/>
      <c r="U97" s="305"/>
    </row>
    <row r="98" spans="1:21" hidden="1">
      <c r="A98" s="332" t="s">
        <v>73</v>
      </c>
      <c r="B98" s="244"/>
      <c r="C98" s="244"/>
      <c r="D98" s="244"/>
      <c r="E98" s="309">
        <v>88.183999999999997</v>
      </c>
      <c r="F98" s="308"/>
      <c r="G98" s="308"/>
      <c r="H98" s="307">
        <f>54.808+186.472</f>
        <v>241.28</v>
      </c>
      <c r="I98" s="309">
        <v>45.631999999999998</v>
      </c>
      <c r="J98" s="307">
        <v>55.573</v>
      </c>
      <c r="K98" s="307">
        <v>45.631999999999998</v>
      </c>
      <c r="L98" s="307">
        <v>55.573</v>
      </c>
      <c r="M98" s="307">
        <f>115.434+428.435+1368.009</f>
        <v>1911.8780000000002</v>
      </c>
      <c r="N98" s="310">
        <f t="shared" si="21"/>
        <v>2241.3420000000001</v>
      </c>
      <c r="O98" s="311">
        <f t="shared" si="22"/>
        <v>3.9344285700263502</v>
      </c>
      <c r="P98" s="238">
        <f t="shared" si="23"/>
        <v>10.764979195499839</v>
      </c>
      <c r="Q98" s="239">
        <f t="shared" si="24"/>
        <v>85.300592234473811</v>
      </c>
      <c r="R98" s="244"/>
      <c r="S98" s="244"/>
      <c r="T98" s="331"/>
      <c r="U98" s="305"/>
    </row>
    <row r="99" spans="1:21" hidden="1">
      <c r="A99" s="332" t="s">
        <v>74</v>
      </c>
      <c r="B99" s="244"/>
      <c r="C99" s="244"/>
      <c r="D99" s="244"/>
      <c r="E99" s="309">
        <f>32.538+21.548+17.586+7.248</f>
        <v>78.92</v>
      </c>
      <c r="F99" s="308"/>
      <c r="G99" s="308"/>
      <c r="H99" s="307">
        <f>22.725+12.022+18.457+268.347</f>
        <v>321.55099999999999</v>
      </c>
      <c r="I99" s="308">
        <f>14.722+96.456+38.216</f>
        <v>149.39400000000001</v>
      </c>
      <c r="J99" s="308">
        <f>33.935+29.677</f>
        <v>63.612000000000002</v>
      </c>
      <c r="K99" s="313">
        <f>14.722+96.456+38.216</f>
        <v>149.39400000000001</v>
      </c>
      <c r="L99" s="308">
        <f>33.935+29.677</f>
        <v>63.612000000000002</v>
      </c>
      <c r="M99" s="307">
        <f>78.299+181.609+56.826+55.577+1424.306</f>
        <v>1796.6170000000002</v>
      </c>
      <c r="N99" s="310">
        <f t="shared" si="21"/>
        <v>2197.0880000000002</v>
      </c>
      <c r="O99" s="311">
        <f t="shared" si="22"/>
        <v>3.5920272651800929</v>
      </c>
      <c r="P99" s="238">
        <f t="shared" si="23"/>
        <v>14.635326395665535</v>
      </c>
      <c r="Q99" s="239">
        <f t="shared" si="24"/>
        <v>81.772646339154377</v>
      </c>
      <c r="R99" s="244"/>
      <c r="S99" s="244"/>
      <c r="T99" s="331"/>
      <c r="U99" s="305"/>
    </row>
    <row r="100" spans="1:21">
      <c r="A100" s="332" t="s">
        <v>75</v>
      </c>
      <c r="B100" s="244"/>
      <c r="C100" s="244"/>
      <c r="D100" s="244"/>
      <c r="E100" s="309">
        <v>83.608000000000004</v>
      </c>
      <c r="F100" s="308"/>
      <c r="G100" s="308"/>
      <c r="H100" s="307">
        <f>53.461+142.471</f>
        <v>195.93200000000002</v>
      </c>
      <c r="I100" s="309"/>
      <c r="J100" s="308">
        <v>68.551000000000002</v>
      </c>
      <c r="K100" s="309"/>
      <c r="L100" s="308">
        <v>68.551000000000002</v>
      </c>
      <c r="M100" s="307">
        <f>199.127+206.492+1611.712</f>
        <v>2017.3310000000001</v>
      </c>
      <c r="N100" s="310">
        <f t="shared" si="21"/>
        <v>2296.8710000000001</v>
      </c>
      <c r="O100" s="311">
        <f t="shared" si="22"/>
        <v>3.6400825296675348</v>
      </c>
      <c r="P100" s="238">
        <f t="shared" si="23"/>
        <v>8.5303876447567148</v>
      </c>
      <c r="Q100" s="239">
        <f t="shared" si="24"/>
        <v>87.829529825575747</v>
      </c>
      <c r="R100" s="244"/>
      <c r="S100" s="244"/>
      <c r="T100" s="331"/>
      <c r="U100" s="305"/>
    </row>
    <row r="101" spans="1:21">
      <c r="A101" s="332" t="s">
        <v>76</v>
      </c>
      <c r="B101" s="266"/>
      <c r="C101" s="244"/>
      <c r="D101" s="244"/>
      <c r="E101" s="309">
        <v>75.950999999999993</v>
      </c>
      <c r="F101" s="308"/>
      <c r="G101" s="308"/>
      <c r="H101" s="307">
        <f>50.449+127.872</f>
        <v>178.321</v>
      </c>
      <c r="I101" s="309">
        <v>49.048999999999999</v>
      </c>
      <c r="J101" s="307">
        <v>31.651</v>
      </c>
      <c r="K101" s="307">
        <v>49.048999999999999</v>
      </c>
      <c r="L101" s="307">
        <v>31.651</v>
      </c>
      <c r="M101" s="307">
        <f>205.886+267.515+1679.114</f>
        <v>2152.5149999999999</v>
      </c>
      <c r="N101" s="310">
        <f t="shared" si="21"/>
        <v>2406.7869999999998</v>
      </c>
      <c r="O101" s="311">
        <f t="shared" si="22"/>
        <v>3.1557009407147367</v>
      </c>
      <c r="P101" s="238">
        <f t="shared" si="23"/>
        <v>7.4090893793260477</v>
      </c>
      <c r="Q101" s="239">
        <f t="shared" si="24"/>
        <v>89.435209679959215</v>
      </c>
      <c r="R101" s="244"/>
      <c r="S101" s="244"/>
      <c r="T101" s="331"/>
      <c r="U101" s="305"/>
    </row>
    <row r="102" spans="1:21">
      <c r="A102" s="332" t="s">
        <v>77</v>
      </c>
      <c r="B102" s="244"/>
      <c r="C102" s="244"/>
      <c r="D102" s="244"/>
      <c r="E102" s="309">
        <v>72.111999999999995</v>
      </c>
      <c r="F102" s="308"/>
      <c r="G102" s="308"/>
      <c r="H102" s="307">
        <f>47.749+125.998</f>
        <v>173.74700000000001</v>
      </c>
      <c r="I102" s="309">
        <v>47.636000000000003</v>
      </c>
      <c r="J102" s="307">
        <v>26.279</v>
      </c>
      <c r="K102" s="307">
        <v>47.636000000000003</v>
      </c>
      <c r="L102" s="307">
        <v>26.279</v>
      </c>
      <c r="M102" s="307">
        <f>162.025+401.319+1481.344</f>
        <v>2044.6880000000001</v>
      </c>
      <c r="N102" s="310">
        <f t="shared" si="21"/>
        <v>2290.547</v>
      </c>
      <c r="O102" s="311">
        <f t="shared" si="22"/>
        <v>3.1482436291418598</v>
      </c>
      <c r="P102" s="238">
        <f t="shared" si="23"/>
        <v>7.5853933580057511</v>
      </c>
      <c r="Q102" s="239">
        <f t="shared" si="24"/>
        <v>89.266363012852395</v>
      </c>
      <c r="R102" s="244"/>
      <c r="S102" s="244"/>
      <c r="T102" s="331"/>
      <c r="U102" s="305"/>
    </row>
    <row r="103" spans="1:21">
      <c r="A103" s="332" t="s">
        <v>78</v>
      </c>
      <c r="B103" s="244"/>
      <c r="C103" s="244"/>
      <c r="D103" s="244"/>
      <c r="E103" s="309">
        <v>67.617999999999995</v>
      </c>
      <c r="F103" s="308"/>
      <c r="G103" s="308"/>
      <c r="H103" s="307">
        <f>57.454+118.962</f>
        <v>176.416</v>
      </c>
      <c r="I103" s="309">
        <v>53.207000000000001</v>
      </c>
      <c r="J103" s="307">
        <v>25.591000000000001</v>
      </c>
      <c r="K103" s="307">
        <v>53.207000000000001</v>
      </c>
      <c r="L103" s="307">
        <v>25.591000000000001</v>
      </c>
      <c r="M103" s="307">
        <f>162.205+419.235+1494.753</f>
        <v>2076.1930000000002</v>
      </c>
      <c r="N103" s="310">
        <f t="shared" si="21"/>
        <v>2320.2270000000003</v>
      </c>
      <c r="O103" s="311">
        <f t="shared" si="22"/>
        <v>2.9142838179195394</v>
      </c>
      <c r="P103" s="238">
        <f t="shared" si="23"/>
        <v>7.6033939782616091</v>
      </c>
      <c r="Q103" s="239">
        <f t="shared" si="24"/>
        <v>89.482322203818839</v>
      </c>
      <c r="R103" s="244"/>
      <c r="S103" s="244"/>
      <c r="T103" s="331"/>
      <c r="U103" s="305"/>
    </row>
    <row r="104" spans="1:21">
      <c r="A104" s="332" t="s">
        <v>79</v>
      </c>
      <c r="B104" s="244"/>
      <c r="C104" s="244"/>
      <c r="D104" s="244"/>
      <c r="E104" s="309">
        <v>76.058999999999997</v>
      </c>
      <c r="F104" s="308"/>
      <c r="G104" s="308"/>
      <c r="H104" s="307">
        <f>38.834+143.615</f>
        <v>182.44900000000001</v>
      </c>
      <c r="I104" s="309">
        <v>57.212000000000003</v>
      </c>
      <c r="J104" s="307">
        <v>24.167000000000002</v>
      </c>
      <c r="K104" s="307">
        <v>57.212000000000003</v>
      </c>
      <c r="L104" s="307">
        <v>24.167000000000002</v>
      </c>
      <c r="M104" s="307">
        <f>128.095+510.493+1442.353</f>
        <v>2080.9409999999998</v>
      </c>
      <c r="N104" s="310">
        <f t="shared" si="21"/>
        <v>2339.4489999999996</v>
      </c>
      <c r="O104" s="311">
        <f t="shared" si="22"/>
        <v>3.2511501639916069</v>
      </c>
      <c r="P104" s="238">
        <f t="shared" si="23"/>
        <v>7.7988021965856085</v>
      </c>
      <c r="Q104" s="239">
        <f t="shared" si="24"/>
        <v>88.950047639422792</v>
      </c>
      <c r="R104" s="244"/>
      <c r="S104" s="244"/>
      <c r="T104" s="331"/>
      <c r="U104" s="305"/>
    </row>
    <row r="105" spans="1:21">
      <c r="A105" s="332" t="s">
        <v>80</v>
      </c>
      <c r="B105" s="244"/>
      <c r="C105" s="244"/>
      <c r="D105" s="244"/>
      <c r="E105" s="309">
        <v>55.834000000000003</v>
      </c>
      <c r="F105" s="308"/>
      <c r="G105" s="308"/>
      <c r="H105" s="314">
        <v>156.11099999999999</v>
      </c>
      <c r="I105" s="315">
        <v>58.244999999999997</v>
      </c>
      <c r="J105" s="314">
        <v>17.577999999999999</v>
      </c>
      <c r="K105" s="314">
        <v>58.244999999999997</v>
      </c>
      <c r="L105" s="314">
        <v>17.577999999999999</v>
      </c>
      <c r="M105" s="314">
        <v>2244.9940000000001</v>
      </c>
      <c r="N105" s="310">
        <f t="shared" si="21"/>
        <v>2456.9390000000003</v>
      </c>
      <c r="O105" s="311">
        <f t="shared" si="22"/>
        <v>2.2725024919218586</v>
      </c>
      <c r="P105" s="238">
        <f t="shared" si="23"/>
        <v>6.3538818017052909</v>
      </c>
      <c r="Q105" s="239">
        <f t="shared" si="24"/>
        <v>91.373615706372846</v>
      </c>
      <c r="R105" s="316"/>
      <c r="S105" s="316"/>
      <c r="T105" s="331"/>
      <c r="U105" s="305"/>
    </row>
    <row r="106" spans="1:21">
      <c r="A106" s="332" t="s">
        <v>81</v>
      </c>
      <c r="B106" s="244"/>
      <c r="C106" s="244"/>
      <c r="D106" s="244"/>
      <c r="E106" s="309">
        <v>52.331000000000003</v>
      </c>
      <c r="F106" s="308"/>
      <c r="G106" s="308"/>
      <c r="H106" s="314">
        <f>34.024+157.256</f>
        <v>191.28</v>
      </c>
      <c r="I106" s="315"/>
      <c r="J106" s="314"/>
      <c r="K106" s="314"/>
      <c r="L106" s="314"/>
      <c r="M106" s="314">
        <f>176.388+401.627+1706.117</f>
        <v>2284.1320000000001</v>
      </c>
      <c r="N106" s="310">
        <f>SUM(E106,H106,M106)</f>
        <v>2527.7429999999999</v>
      </c>
      <c r="O106" s="311">
        <f>(E106/N106)*100</f>
        <v>2.0702658458553738</v>
      </c>
      <c r="P106" s="238">
        <f>(H106/N106)*100</f>
        <v>7.5672249908317415</v>
      </c>
      <c r="Q106" s="239">
        <f>(M106/N106)*100</f>
        <v>90.362509163312893</v>
      </c>
      <c r="R106" s="244"/>
      <c r="S106" s="244"/>
      <c r="T106" s="331"/>
      <c r="U106" s="305"/>
    </row>
    <row r="107" spans="1:21">
      <c r="A107" s="332" t="s">
        <v>82</v>
      </c>
      <c r="B107" s="244"/>
      <c r="C107" s="244"/>
      <c r="D107" s="244"/>
      <c r="E107" s="309">
        <v>60.75</v>
      </c>
      <c r="F107" s="308"/>
      <c r="G107" s="308"/>
      <c r="H107" s="314">
        <v>183.517</v>
      </c>
      <c r="I107" s="315">
        <v>58.244999999999997</v>
      </c>
      <c r="J107" s="314">
        <v>17.577999999999999</v>
      </c>
      <c r="K107" s="314">
        <v>58.244999999999997</v>
      </c>
      <c r="L107" s="314">
        <v>17.577999999999999</v>
      </c>
      <c r="M107" s="315">
        <v>2261.5010000000002</v>
      </c>
      <c r="N107" s="310">
        <v>2505.768</v>
      </c>
      <c r="O107" s="311">
        <v>2.4244064095319278</v>
      </c>
      <c r="P107" s="238">
        <v>7.3237825688571334</v>
      </c>
      <c r="Q107" s="239">
        <v>90.251811021610948</v>
      </c>
      <c r="R107" s="244"/>
      <c r="S107" s="244"/>
      <c r="T107" s="331"/>
      <c r="U107" s="305"/>
    </row>
    <row r="108" spans="1:21" ht="14.25">
      <c r="A108" s="276" t="s">
        <v>164</v>
      </c>
      <c r="B108" s="316"/>
      <c r="C108" s="316"/>
      <c r="D108" s="316"/>
      <c r="E108" s="333">
        <v>34.01</v>
      </c>
      <c r="F108" s="318"/>
      <c r="G108" s="318"/>
      <c r="H108" s="321">
        <v>73.2</v>
      </c>
      <c r="I108" s="320">
        <v>58.244999999999997</v>
      </c>
      <c r="J108" s="321">
        <v>17.577999999999999</v>
      </c>
      <c r="K108" s="321">
        <v>58.244999999999997</v>
      </c>
      <c r="L108" s="321">
        <v>17.577999999999999</v>
      </c>
      <c r="M108" s="322">
        <v>2448.61</v>
      </c>
      <c r="N108" s="323">
        <f>SUM(E108,H108,M108)</f>
        <v>2555.8200000000002</v>
      </c>
      <c r="O108" s="324">
        <f>(E108/N108)*100</f>
        <v>1.3306883896362027</v>
      </c>
      <c r="P108" s="282">
        <f>(H108/N108)*100</f>
        <v>2.8640514590229356</v>
      </c>
      <c r="Q108" s="283">
        <f>(M108/N108)*100</f>
        <v>95.80526015134086</v>
      </c>
      <c r="R108" s="244"/>
      <c r="S108" s="244"/>
      <c r="T108" s="331"/>
      <c r="U108" s="305"/>
    </row>
    <row r="109" spans="1:21">
      <c r="A109" s="293"/>
      <c r="B109" s="244"/>
      <c r="C109" s="244"/>
      <c r="D109" s="244"/>
      <c r="E109" s="308"/>
      <c r="F109" s="308"/>
      <c r="G109" s="308"/>
      <c r="H109" s="308"/>
      <c r="I109" s="308"/>
      <c r="J109" s="308"/>
      <c r="K109" s="308"/>
      <c r="L109" s="308"/>
      <c r="M109" s="308"/>
      <c r="N109" s="326" t="s">
        <v>89</v>
      </c>
      <c r="O109" s="327"/>
      <c r="P109" s="327"/>
      <c r="Q109" s="328"/>
      <c r="T109" s="244"/>
      <c r="U109" s="244"/>
    </row>
    <row r="110" spans="1:21">
      <c r="A110" s="329" t="s">
        <v>71</v>
      </c>
      <c r="B110" s="215"/>
      <c r="C110" s="215"/>
      <c r="D110" s="215"/>
      <c r="E110" s="298">
        <v>185.76900000000001</v>
      </c>
      <c r="F110" s="299"/>
      <c r="G110" s="299"/>
      <c r="H110" s="298">
        <f>126.251+265.295</f>
        <v>391.54600000000005</v>
      </c>
      <c r="I110" s="334">
        <v>265.29500000000002</v>
      </c>
      <c r="J110" s="298">
        <v>126.251</v>
      </c>
      <c r="K110" s="334">
        <v>265.29500000000002</v>
      </c>
      <c r="L110" s="298">
        <v>126.251</v>
      </c>
      <c r="M110" s="334">
        <f>611.555+640.309</f>
        <v>1251.864</v>
      </c>
      <c r="N110" s="300">
        <f>SUM(E110,H110,M110)</f>
        <v>1829.1790000000001</v>
      </c>
      <c r="O110" s="301">
        <f>(E110/N110)*100</f>
        <v>10.155867741757367</v>
      </c>
      <c r="P110" s="302">
        <f>(H110/N110)*100</f>
        <v>21.405559543379844</v>
      </c>
      <c r="Q110" s="303">
        <f>(M110/N110)*100</f>
        <v>68.438572714862786</v>
      </c>
      <c r="T110" s="331"/>
      <c r="U110" s="305"/>
    </row>
    <row r="111" spans="1:21">
      <c r="A111" s="332" t="s">
        <v>168</v>
      </c>
      <c r="B111" s="244"/>
      <c r="C111" s="244"/>
      <c r="D111" s="244"/>
      <c r="E111" s="307">
        <v>184.577</v>
      </c>
      <c r="F111" s="308"/>
      <c r="G111" s="308"/>
      <c r="H111" s="307">
        <f>145.84+229.486</f>
        <v>375.32600000000002</v>
      </c>
      <c r="I111" s="313">
        <f>229.486</f>
        <v>229.48599999999999</v>
      </c>
      <c r="J111" s="307">
        <v>145.84</v>
      </c>
      <c r="K111" s="313">
        <f>229.486</f>
        <v>229.48599999999999</v>
      </c>
      <c r="L111" s="307">
        <v>145.84</v>
      </c>
      <c r="M111" s="313">
        <f>428.55+303.177+564.547</f>
        <v>1296.2740000000001</v>
      </c>
      <c r="N111" s="310">
        <f t="shared" ref="N111:N120" si="25">SUM(E111,H111,M111)</f>
        <v>1856.1770000000001</v>
      </c>
      <c r="O111" s="311">
        <f t="shared" ref="O111:O120" si="26">(E111/N111)*100</f>
        <v>9.9439331486167521</v>
      </c>
      <c r="P111" s="238">
        <f t="shared" ref="P111:P120" si="27">(H111/N111)*100</f>
        <v>20.220377690274148</v>
      </c>
      <c r="Q111" s="239">
        <f t="shared" ref="Q111:Q120" si="28">(M111/N111)*100</f>
        <v>69.835689161109087</v>
      </c>
      <c r="T111" s="331"/>
      <c r="U111" s="305"/>
    </row>
    <row r="112" spans="1:21" hidden="1">
      <c r="A112" s="332" t="s">
        <v>72</v>
      </c>
      <c r="B112" s="244"/>
      <c r="C112" s="244"/>
      <c r="D112" s="244"/>
      <c r="E112" s="307"/>
      <c r="F112" s="308"/>
      <c r="G112" s="308"/>
      <c r="H112" s="307">
        <v>1750850</v>
      </c>
      <c r="I112" s="313">
        <v>297349</v>
      </c>
      <c r="J112" s="307">
        <v>1750850</v>
      </c>
      <c r="K112" s="313">
        <v>297349</v>
      </c>
      <c r="L112" s="307">
        <v>1750850</v>
      </c>
      <c r="M112" s="313">
        <v>223253</v>
      </c>
      <c r="N112" s="310">
        <f t="shared" si="25"/>
        <v>1974103</v>
      </c>
      <c r="O112" s="311">
        <f t="shared" si="26"/>
        <v>0</v>
      </c>
      <c r="P112" s="238">
        <f t="shared" si="27"/>
        <v>88.690914303863579</v>
      </c>
      <c r="Q112" s="239">
        <f t="shared" si="28"/>
        <v>11.309085696136423</v>
      </c>
      <c r="T112" s="331"/>
      <c r="U112" s="305"/>
    </row>
    <row r="113" spans="1:21" hidden="1">
      <c r="A113" s="332" t="s">
        <v>73</v>
      </c>
      <c r="B113" s="244"/>
      <c r="C113" s="244"/>
      <c r="D113" s="244"/>
      <c r="E113" s="307">
        <f>180.564</f>
        <v>180.56399999999999</v>
      </c>
      <c r="F113" s="308"/>
      <c r="G113" s="308"/>
      <c r="H113" s="307">
        <f>113.572+221.953</f>
        <v>335.52499999999998</v>
      </c>
      <c r="I113" s="313">
        <f>221.953</f>
        <v>221.953</v>
      </c>
      <c r="J113" s="307">
        <v>113.572</v>
      </c>
      <c r="K113" s="313">
        <f>221.953</f>
        <v>221.953</v>
      </c>
      <c r="L113" s="307">
        <v>113.572</v>
      </c>
      <c r="M113" s="313">
        <f>468.049+402.379+587.586</f>
        <v>1458.0140000000001</v>
      </c>
      <c r="N113" s="310">
        <f t="shared" si="25"/>
        <v>1974.1030000000001</v>
      </c>
      <c r="O113" s="311">
        <f t="shared" si="26"/>
        <v>9.1466352059644311</v>
      </c>
      <c r="P113" s="238">
        <f t="shared" si="27"/>
        <v>16.996326939374491</v>
      </c>
      <c r="Q113" s="239">
        <f t="shared" si="28"/>
        <v>73.857037854661073</v>
      </c>
      <c r="T113" s="331"/>
      <c r="U113" s="305"/>
    </row>
    <row r="114" spans="1:21" hidden="1">
      <c r="A114" s="332" t="s">
        <v>74</v>
      </c>
      <c r="B114" s="244"/>
      <c r="C114" s="244"/>
      <c r="D114" s="244"/>
      <c r="E114" s="307">
        <f>91.944+90.398</f>
        <v>182.34199999999998</v>
      </c>
      <c r="F114" s="308"/>
      <c r="G114" s="308"/>
      <c r="H114" s="307">
        <f>63.075+66.993+184.019</f>
        <v>314.08699999999999</v>
      </c>
      <c r="I114" s="313">
        <f>31.697+152.322</f>
        <v>184.01900000000001</v>
      </c>
      <c r="J114" s="307">
        <f>63.075+66.993</f>
        <v>130.06799999999998</v>
      </c>
      <c r="K114" s="313">
        <f>31.697+152.322</f>
        <v>184.01900000000001</v>
      </c>
      <c r="L114" s="307">
        <f>63.075+66.993</f>
        <v>130.06799999999998</v>
      </c>
      <c r="M114" s="313">
        <f>178.648+269.193+387.895+583.234</f>
        <v>1418.97</v>
      </c>
      <c r="N114" s="310">
        <f t="shared" si="25"/>
        <v>1915.3989999999999</v>
      </c>
      <c r="O114" s="311">
        <f t="shared" si="26"/>
        <v>9.519791959795322</v>
      </c>
      <c r="P114" s="238">
        <f t="shared" si="27"/>
        <v>16.397993316275095</v>
      </c>
      <c r="Q114" s="239">
        <f t="shared" si="28"/>
        <v>74.082214723929582</v>
      </c>
      <c r="T114" s="331"/>
      <c r="U114" s="305"/>
    </row>
    <row r="115" spans="1:21">
      <c r="A115" s="332" t="s">
        <v>75</v>
      </c>
      <c r="B115" s="244"/>
      <c r="C115" s="244"/>
      <c r="D115" s="244"/>
      <c r="E115" s="307">
        <f>179.05</f>
        <v>179.05</v>
      </c>
      <c r="F115" s="308"/>
      <c r="G115" s="308"/>
      <c r="H115" s="307">
        <f>125.692+278.234</f>
        <v>403.92599999999999</v>
      </c>
      <c r="I115" s="313">
        <v>278.23399999999998</v>
      </c>
      <c r="J115" s="307">
        <v>125.69199999999999</v>
      </c>
      <c r="K115" s="313">
        <v>278.23399999999998</v>
      </c>
      <c r="L115" s="307">
        <v>125.69199999999999</v>
      </c>
      <c r="M115" s="313">
        <f>369.289+362.031+588.228</f>
        <v>1319.5479999999998</v>
      </c>
      <c r="N115" s="310">
        <f t="shared" si="25"/>
        <v>1902.5239999999999</v>
      </c>
      <c r="O115" s="311">
        <f t="shared" si="26"/>
        <v>9.4111821979643899</v>
      </c>
      <c r="P115" s="238">
        <f t="shared" si="27"/>
        <v>21.231059371655757</v>
      </c>
      <c r="Q115" s="239">
        <f t="shared" si="28"/>
        <v>69.357758430379846</v>
      </c>
      <c r="T115" s="331"/>
      <c r="U115" s="305"/>
    </row>
    <row r="116" spans="1:21">
      <c r="A116" s="332" t="s">
        <v>76</v>
      </c>
      <c r="B116" s="266"/>
      <c r="C116" s="244"/>
      <c r="D116" s="244"/>
      <c r="E116" s="307">
        <f>181.125</f>
        <v>181.125</v>
      </c>
      <c r="F116" s="308"/>
      <c r="G116" s="308"/>
      <c r="H116" s="307">
        <f>108.437+266.628</f>
        <v>375.065</v>
      </c>
      <c r="I116" s="313">
        <f>266.628</f>
        <v>266.62799999999999</v>
      </c>
      <c r="J116" s="307">
        <v>108.437</v>
      </c>
      <c r="K116" s="313">
        <f>266.628</f>
        <v>266.62799999999999</v>
      </c>
      <c r="L116" s="307">
        <v>108.437</v>
      </c>
      <c r="M116" s="313">
        <f>365.626+456.636+638.596</f>
        <v>1460.8579999999999</v>
      </c>
      <c r="N116" s="310">
        <f t="shared" si="25"/>
        <v>2017.048</v>
      </c>
      <c r="O116" s="311">
        <f t="shared" si="26"/>
        <v>8.9797069777218983</v>
      </c>
      <c r="P116" s="238">
        <f t="shared" si="27"/>
        <v>18.594748364937274</v>
      </c>
      <c r="Q116" s="239">
        <f t="shared" si="28"/>
        <v>72.425544657340822</v>
      </c>
      <c r="T116" s="331"/>
      <c r="U116" s="305"/>
    </row>
    <row r="117" spans="1:21">
      <c r="A117" s="332" t="s">
        <v>77</v>
      </c>
      <c r="B117" s="244"/>
      <c r="C117" s="244"/>
      <c r="D117" s="244"/>
      <c r="E117" s="307">
        <f>191.504</f>
        <v>191.50399999999999</v>
      </c>
      <c r="F117" s="308"/>
      <c r="G117" s="308"/>
      <c r="H117" s="307">
        <f>89.076+293.977</f>
        <v>383.053</v>
      </c>
      <c r="I117" s="313">
        <v>293.97699999999998</v>
      </c>
      <c r="J117" s="307">
        <v>89.075999999999993</v>
      </c>
      <c r="K117" s="313">
        <v>293.97699999999998</v>
      </c>
      <c r="L117" s="307">
        <v>89.075999999999993</v>
      </c>
      <c r="M117" s="313">
        <f>380.056+387.536+624.566</f>
        <v>1392.1579999999999</v>
      </c>
      <c r="N117" s="310">
        <f t="shared" si="25"/>
        <v>1966.7149999999999</v>
      </c>
      <c r="O117" s="311">
        <f t="shared" si="26"/>
        <v>9.7372522200725573</v>
      </c>
      <c r="P117" s="238">
        <f t="shared" si="27"/>
        <v>19.476792519505878</v>
      </c>
      <c r="Q117" s="239">
        <f t="shared" si="28"/>
        <v>70.785955260421559</v>
      </c>
      <c r="T117" s="331"/>
      <c r="U117" s="305"/>
    </row>
    <row r="118" spans="1:21">
      <c r="A118" s="332" t="s">
        <v>78</v>
      </c>
      <c r="B118" s="244"/>
      <c r="C118" s="244"/>
      <c r="D118" s="244"/>
      <c r="E118" s="307">
        <f>180.178</f>
        <v>180.178</v>
      </c>
      <c r="F118" s="308"/>
      <c r="G118" s="308"/>
      <c r="H118" s="307">
        <f>100.745+223.965</f>
        <v>324.71000000000004</v>
      </c>
      <c r="I118" s="313">
        <v>223.965</v>
      </c>
      <c r="J118" s="307">
        <v>100.745</v>
      </c>
      <c r="K118" s="313">
        <v>223.965</v>
      </c>
      <c r="L118" s="307">
        <v>100.745</v>
      </c>
      <c r="M118" s="313">
        <f>343.998+401.697+788.875</f>
        <v>1534.57</v>
      </c>
      <c r="N118" s="310">
        <f t="shared" si="25"/>
        <v>2039.4580000000001</v>
      </c>
      <c r="O118" s="311">
        <f t="shared" si="26"/>
        <v>8.8346021344886729</v>
      </c>
      <c r="P118" s="238">
        <f t="shared" si="27"/>
        <v>15.921386956730663</v>
      </c>
      <c r="Q118" s="239">
        <f t="shared" si="28"/>
        <v>75.244010908780652</v>
      </c>
      <c r="T118" s="331"/>
      <c r="U118" s="305"/>
    </row>
    <row r="119" spans="1:21">
      <c r="A119" s="332" t="s">
        <v>79</v>
      </c>
      <c r="B119" s="244"/>
      <c r="C119" s="244"/>
      <c r="D119" s="244"/>
      <c r="E119" s="307">
        <f>175.896</f>
        <v>175.89599999999999</v>
      </c>
      <c r="F119" s="308"/>
      <c r="G119" s="308"/>
      <c r="H119" s="307">
        <f>102.417+210.133</f>
        <v>312.55</v>
      </c>
      <c r="I119" s="313">
        <v>210.13300000000001</v>
      </c>
      <c r="J119" s="307">
        <v>102.417</v>
      </c>
      <c r="K119" s="313">
        <v>210.13300000000001</v>
      </c>
      <c r="L119" s="307">
        <v>102.417</v>
      </c>
      <c r="M119" s="313">
        <f>364.199+313.718+919.973</f>
        <v>1597.8899999999999</v>
      </c>
      <c r="N119" s="310">
        <f t="shared" si="25"/>
        <v>2086.3359999999998</v>
      </c>
      <c r="O119" s="311">
        <f t="shared" si="26"/>
        <v>8.4308567747476921</v>
      </c>
      <c r="P119" s="238">
        <f t="shared" si="27"/>
        <v>14.980808460382223</v>
      </c>
      <c r="Q119" s="239">
        <f t="shared" si="28"/>
        <v>76.588334764870098</v>
      </c>
      <c r="T119" s="331"/>
      <c r="U119" s="305"/>
    </row>
    <row r="120" spans="1:21">
      <c r="A120" s="332" t="s">
        <v>80</v>
      </c>
      <c r="B120" s="244"/>
      <c r="C120" s="244"/>
      <c r="D120" s="244"/>
      <c r="E120" s="307">
        <v>184.52799999999999</v>
      </c>
      <c r="F120" s="308"/>
      <c r="G120" s="308"/>
      <c r="H120" s="314">
        <v>270.35399999999998</v>
      </c>
      <c r="I120" s="335">
        <v>182.387</v>
      </c>
      <c r="J120" s="314">
        <v>87.966999999999999</v>
      </c>
      <c r="K120" s="335">
        <v>182.387</v>
      </c>
      <c r="L120" s="314">
        <v>87.966999999999999</v>
      </c>
      <c r="M120" s="335">
        <v>1713.355</v>
      </c>
      <c r="N120" s="310">
        <f t="shared" si="25"/>
        <v>2168.2370000000001</v>
      </c>
      <c r="O120" s="311">
        <f t="shared" si="26"/>
        <v>8.5105087681835521</v>
      </c>
      <c r="P120" s="238">
        <f t="shared" si="27"/>
        <v>12.468839891580116</v>
      </c>
      <c r="Q120" s="239">
        <f t="shared" si="28"/>
        <v>79.020651340236327</v>
      </c>
      <c r="T120" s="331"/>
      <c r="U120" s="305"/>
    </row>
    <row r="121" spans="1:21">
      <c r="A121" s="306" t="s">
        <v>81</v>
      </c>
      <c r="B121" s="244"/>
      <c r="C121" s="244"/>
      <c r="D121" s="244"/>
      <c r="E121" s="307">
        <v>182.76900000000001</v>
      </c>
      <c r="F121" s="308"/>
      <c r="G121" s="308"/>
      <c r="H121" s="314">
        <f>94.689+132.258-2.426</f>
        <v>224.52100000000002</v>
      </c>
      <c r="I121" s="335"/>
      <c r="J121" s="314"/>
      <c r="K121" s="335"/>
      <c r="L121" s="314"/>
      <c r="M121" s="335">
        <f>397.412-37.63+551.271+1096.214-256.525</f>
        <v>1750.7419999999997</v>
      </c>
      <c r="N121" s="310">
        <f>SUM(E121,H121,M121)</f>
        <v>2158.0319999999997</v>
      </c>
      <c r="O121" s="311">
        <f>(E121/N121)*100</f>
        <v>8.4692442002713602</v>
      </c>
      <c r="P121" s="238">
        <f>(H121/N121)*100</f>
        <v>10.403969913328442</v>
      </c>
      <c r="Q121" s="239">
        <f>(M121/N121)*100</f>
        <v>81.126785886400199</v>
      </c>
      <c r="T121" s="331"/>
      <c r="U121" s="305"/>
    </row>
    <row r="122" spans="1:21">
      <c r="A122" s="306" t="s">
        <v>82</v>
      </c>
      <c r="B122" s="244"/>
      <c r="C122" s="244"/>
      <c r="D122" s="244"/>
      <c r="E122" s="307">
        <v>166.881</v>
      </c>
      <c r="F122" s="308"/>
      <c r="G122" s="308"/>
      <c r="H122" s="314">
        <v>234.79000000000002</v>
      </c>
      <c r="I122" s="336">
        <v>58.244999999999997</v>
      </c>
      <c r="J122" s="314">
        <v>17.577999999999999</v>
      </c>
      <c r="K122" s="335">
        <v>58.244999999999997</v>
      </c>
      <c r="L122" s="314">
        <v>17.577999999999999</v>
      </c>
      <c r="M122" s="336">
        <v>1739.172</v>
      </c>
      <c r="N122" s="310">
        <v>2140.8429999999998</v>
      </c>
      <c r="O122" s="311">
        <v>7.7951068807941546</v>
      </c>
      <c r="P122" s="238">
        <v>10.967175080096954</v>
      </c>
      <c r="Q122" s="239">
        <v>81.237718039108898</v>
      </c>
      <c r="T122" s="331"/>
      <c r="U122" s="305"/>
    </row>
    <row r="123" spans="1:21" ht="14.25">
      <c r="A123" s="276" t="s">
        <v>164</v>
      </c>
      <c r="B123" s="316"/>
      <c r="C123" s="316"/>
      <c r="D123" s="316"/>
      <c r="E123" s="333">
        <v>114.15300000000001</v>
      </c>
      <c r="F123" s="318"/>
      <c r="G123" s="318"/>
      <c r="H123" s="321">
        <v>203.70699999999999</v>
      </c>
      <c r="I123" s="320">
        <v>58.244999999999997</v>
      </c>
      <c r="J123" s="321">
        <v>17.577999999999999</v>
      </c>
      <c r="K123" s="321">
        <v>58.244999999999997</v>
      </c>
      <c r="L123" s="321">
        <v>17.577999999999999</v>
      </c>
      <c r="M123" s="322">
        <v>1794.4749999999999</v>
      </c>
      <c r="N123" s="323">
        <f>SUM(E123,H123,M123)</f>
        <v>2112.335</v>
      </c>
      <c r="O123" s="324">
        <f>(E123/N123)*100</f>
        <v>5.4041144042019855</v>
      </c>
      <c r="P123" s="282">
        <f>(H123/N123)*100</f>
        <v>9.6436881460563786</v>
      </c>
      <c r="Q123" s="283">
        <f>(M123/N123)*100</f>
        <v>84.952197449741632</v>
      </c>
      <c r="T123" s="331"/>
      <c r="U123" s="305"/>
    </row>
    <row r="124" spans="1:21">
      <c r="A124" s="293"/>
      <c r="B124" s="244"/>
      <c r="C124" s="244"/>
      <c r="D124" s="244"/>
      <c r="E124" s="308"/>
      <c r="F124" s="308"/>
      <c r="G124" s="308"/>
      <c r="H124" s="308"/>
      <c r="I124" s="308"/>
      <c r="J124" s="308"/>
      <c r="K124" s="308"/>
      <c r="L124" s="308"/>
      <c r="M124" s="308"/>
      <c r="N124" s="326" t="s">
        <v>90</v>
      </c>
      <c r="O124" s="327"/>
      <c r="P124" s="327"/>
      <c r="Q124" s="328"/>
      <c r="T124" s="244"/>
      <c r="U124" s="244"/>
    </row>
    <row r="125" spans="1:21">
      <c r="A125" s="329" t="s">
        <v>71</v>
      </c>
      <c r="B125" s="215"/>
      <c r="C125" s="215"/>
      <c r="D125" s="215"/>
      <c r="E125" s="298">
        <v>72.742999999999995</v>
      </c>
      <c r="F125" s="299"/>
      <c r="G125" s="299"/>
      <c r="H125" s="298">
        <f>54.713+80.54</f>
        <v>135.25300000000001</v>
      </c>
      <c r="I125" s="330">
        <v>80.540000000000006</v>
      </c>
      <c r="J125" s="298">
        <v>54.713000000000001</v>
      </c>
      <c r="K125" s="330">
        <v>80.540000000000006</v>
      </c>
      <c r="L125" s="298">
        <v>54.713000000000001</v>
      </c>
      <c r="M125" s="334">
        <f>357.317+787.081</f>
        <v>1144.3980000000001</v>
      </c>
      <c r="N125" s="300">
        <f>SUM(E125,H125,M125)</f>
        <v>1352.3940000000002</v>
      </c>
      <c r="O125" s="301">
        <f>(E125/N125)*100</f>
        <v>5.378831908452713</v>
      </c>
      <c r="P125" s="302">
        <f>(H125/N125)*100</f>
        <v>10.001005624100669</v>
      </c>
      <c r="Q125" s="303">
        <f>(M125/N125)*100</f>
        <v>84.620162467446619</v>
      </c>
      <c r="T125" s="331"/>
      <c r="U125" s="305"/>
    </row>
    <row r="126" spans="1:21">
      <c r="A126" s="332" t="s">
        <v>163</v>
      </c>
      <c r="B126" s="244"/>
      <c r="C126" s="244"/>
      <c r="D126" s="244"/>
      <c r="E126" s="307">
        <v>72.972999999999999</v>
      </c>
      <c r="F126" s="308"/>
      <c r="G126" s="308"/>
      <c r="H126" s="307">
        <f>27.929+81.442</f>
        <v>109.371</v>
      </c>
      <c r="I126" s="309">
        <v>81.441999999999993</v>
      </c>
      <c r="J126" s="307">
        <v>27.928999999999998</v>
      </c>
      <c r="K126" s="309">
        <v>81.441999999999993</v>
      </c>
      <c r="L126" s="307">
        <v>27.928999999999998</v>
      </c>
      <c r="M126" s="307">
        <f>189.889+165.759+840.123</f>
        <v>1195.7710000000002</v>
      </c>
      <c r="N126" s="310">
        <f t="shared" ref="N126:N135" si="29">SUM(E126,H126,M126)</f>
        <v>1378.1150000000002</v>
      </c>
      <c r="O126" s="311">
        <f t="shared" ref="O126:O135" si="30">(E126/N126)*100</f>
        <v>5.2951313932436692</v>
      </c>
      <c r="P126" s="238">
        <f t="shared" ref="P126:P135" si="31">(H126/N126)*100</f>
        <v>7.9362752745598133</v>
      </c>
      <c r="Q126" s="239">
        <f t="shared" ref="Q126:Q135" si="32">(M126/N126)*100</f>
        <v>86.768593332196502</v>
      </c>
      <c r="T126" s="331"/>
      <c r="U126" s="305"/>
    </row>
    <row r="127" spans="1:21" hidden="1">
      <c r="A127" s="332" t="s">
        <v>72</v>
      </c>
      <c r="B127" s="244"/>
      <c r="C127" s="244"/>
      <c r="D127" s="244"/>
      <c r="E127" s="307"/>
      <c r="F127" s="308"/>
      <c r="G127" s="308"/>
      <c r="H127" s="307">
        <v>1247852</v>
      </c>
      <c r="I127" s="309">
        <v>0</v>
      </c>
      <c r="J127" s="307">
        <v>1247852</v>
      </c>
      <c r="K127" s="309">
        <v>0</v>
      </c>
      <c r="L127" s="307">
        <v>1247852</v>
      </c>
      <c r="M127" s="307">
        <v>211269</v>
      </c>
      <c r="N127" s="310">
        <f t="shared" si="29"/>
        <v>1459121</v>
      </c>
      <c r="O127" s="311">
        <f t="shared" si="30"/>
        <v>0</v>
      </c>
      <c r="P127" s="238">
        <f t="shared" si="31"/>
        <v>85.520803278138004</v>
      </c>
      <c r="Q127" s="239">
        <f t="shared" si="32"/>
        <v>14.479196721861998</v>
      </c>
      <c r="T127" s="331"/>
      <c r="U127" s="305"/>
    </row>
    <row r="128" spans="1:21" hidden="1">
      <c r="A128" s="332" t="s">
        <v>73</v>
      </c>
      <c r="B128" s="244"/>
      <c r="C128" s="244"/>
      <c r="D128" s="244"/>
      <c r="E128" s="307">
        <v>67.311000000000007</v>
      </c>
      <c r="F128" s="308"/>
      <c r="G128" s="308"/>
      <c r="H128" s="307">
        <f>27.329+79.098</f>
        <v>106.42699999999999</v>
      </c>
      <c r="I128" s="309">
        <v>79.097999999999999</v>
      </c>
      <c r="J128" s="307">
        <v>27.329000000000001</v>
      </c>
      <c r="K128" s="309">
        <v>79.097999999999999</v>
      </c>
      <c r="L128" s="307">
        <v>27.329000000000001</v>
      </c>
      <c r="M128" s="307">
        <f>137.726+229.58+898.42</f>
        <v>1265.7260000000001</v>
      </c>
      <c r="N128" s="310">
        <f t="shared" si="29"/>
        <v>1439.4640000000002</v>
      </c>
      <c r="O128" s="311">
        <f t="shared" si="30"/>
        <v>4.6761155541229238</v>
      </c>
      <c r="P128" s="238">
        <f t="shared" si="31"/>
        <v>7.3935159198145959</v>
      </c>
      <c r="Q128" s="239">
        <f t="shared" si="32"/>
        <v>87.93036852606248</v>
      </c>
      <c r="T128" s="331"/>
      <c r="U128" s="305"/>
    </row>
    <row r="129" spans="1:21" hidden="1">
      <c r="A129" s="332" t="s">
        <v>74</v>
      </c>
      <c r="B129" s="244"/>
      <c r="C129" s="244"/>
      <c r="D129" s="244"/>
      <c r="E129" s="307">
        <v>58.475999999999999</v>
      </c>
      <c r="F129" s="308"/>
      <c r="G129" s="308"/>
      <c r="H129" s="307">
        <f>11.956+109.473</f>
        <v>121.429</v>
      </c>
      <c r="I129" s="309">
        <v>109.473</v>
      </c>
      <c r="J129" s="307">
        <v>11.956</v>
      </c>
      <c r="K129" s="309">
        <v>109.473</v>
      </c>
      <c r="L129" s="307">
        <v>11.956</v>
      </c>
      <c r="M129" s="307">
        <f>110.409+255.272+436.589+451.387</f>
        <v>1253.6569999999999</v>
      </c>
      <c r="N129" s="310">
        <f t="shared" si="29"/>
        <v>1433.5619999999999</v>
      </c>
      <c r="O129" s="311">
        <f t="shared" si="30"/>
        <v>4.0790701762463017</v>
      </c>
      <c r="P129" s="238">
        <f t="shared" si="31"/>
        <v>8.4704393671149205</v>
      </c>
      <c r="Q129" s="239">
        <f t="shared" si="32"/>
        <v>87.450490456638775</v>
      </c>
      <c r="T129" s="331"/>
      <c r="U129" s="305"/>
    </row>
    <row r="130" spans="1:21">
      <c r="A130" s="332" t="s">
        <v>75</v>
      </c>
      <c r="B130" s="244"/>
      <c r="C130" s="244"/>
      <c r="D130" s="244"/>
      <c r="E130" s="307">
        <v>58.991</v>
      </c>
      <c r="F130" s="308"/>
      <c r="G130" s="308"/>
      <c r="H130" s="307">
        <f>17.399+95.126</f>
        <v>112.52500000000001</v>
      </c>
      <c r="I130" s="309">
        <v>95.126000000000005</v>
      </c>
      <c r="J130" s="307">
        <v>17.399000000000001</v>
      </c>
      <c r="K130" s="309">
        <v>95.126000000000005</v>
      </c>
      <c r="L130" s="307">
        <v>17.399000000000001</v>
      </c>
      <c r="M130" s="313">
        <f>291.337+908.411</f>
        <v>1199.748</v>
      </c>
      <c r="N130" s="310">
        <f t="shared" si="29"/>
        <v>1371.2640000000001</v>
      </c>
      <c r="O130" s="311">
        <f t="shared" si="30"/>
        <v>4.3019433165313172</v>
      </c>
      <c r="P130" s="238">
        <f t="shared" si="31"/>
        <v>8.2059326285820973</v>
      </c>
      <c r="Q130" s="239">
        <f t="shared" si="32"/>
        <v>87.492124054886574</v>
      </c>
      <c r="T130" s="331"/>
      <c r="U130" s="305"/>
    </row>
    <row r="131" spans="1:21">
      <c r="A131" s="332" t="s">
        <v>76</v>
      </c>
      <c r="B131" s="266"/>
      <c r="C131" s="244"/>
      <c r="D131" s="244"/>
      <c r="E131" s="307">
        <v>60.378999999999998</v>
      </c>
      <c r="F131" s="308"/>
      <c r="G131" s="308"/>
      <c r="H131" s="307">
        <f>31.915+47.913</f>
        <v>79.828000000000003</v>
      </c>
      <c r="I131" s="309">
        <v>47.912999999999997</v>
      </c>
      <c r="J131" s="307">
        <v>31.914999999999999</v>
      </c>
      <c r="K131" s="309">
        <v>47.912999999999997</v>
      </c>
      <c r="L131" s="307">
        <v>31.914999999999999</v>
      </c>
      <c r="M131" s="313">
        <f>132.612+118.202+1006.49</f>
        <v>1257.3040000000001</v>
      </c>
      <c r="N131" s="310">
        <f t="shared" si="29"/>
        <v>1397.511</v>
      </c>
      <c r="O131" s="311">
        <f t="shared" si="30"/>
        <v>4.3204668872016034</v>
      </c>
      <c r="P131" s="238">
        <f t="shared" si="31"/>
        <v>5.7121553962723732</v>
      </c>
      <c r="Q131" s="239">
        <f t="shared" si="32"/>
        <v>89.96737771652603</v>
      </c>
      <c r="T131" s="331"/>
      <c r="U131" s="305"/>
    </row>
    <row r="132" spans="1:21">
      <c r="A132" s="332" t="s">
        <v>77</v>
      </c>
      <c r="B132" s="244"/>
      <c r="C132" s="244"/>
      <c r="D132" s="244"/>
      <c r="E132" s="307">
        <v>55.762999999999998</v>
      </c>
      <c r="F132" s="308"/>
      <c r="G132" s="308"/>
      <c r="H132" s="307">
        <f>19.962+61.143</f>
        <v>81.105000000000004</v>
      </c>
      <c r="I132" s="309">
        <v>61.143000000000001</v>
      </c>
      <c r="J132" s="307">
        <v>19.962</v>
      </c>
      <c r="K132" s="309">
        <v>61.143000000000001</v>
      </c>
      <c r="L132" s="307">
        <v>19.962</v>
      </c>
      <c r="M132" s="313">
        <f>320.238+1041.133</f>
        <v>1361.3710000000001</v>
      </c>
      <c r="N132" s="310">
        <f t="shared" si="29"/>
        <v>1498.239</v>
      </c>
      <c r="O132" s="311">
        <f t="shared" si="30"/>
        <v>3.7219028472760352</v>
      </c>
      <c r="P132" s="238">
        <f t="shared" si="31"/>
        <v>5.4133552790976607</v>
      </c>
      <c r="Q132" s="239">
        <f t="shared" si="32"/>
        <v>90.864741873626315</v>
      </c>
      <c r="T132" s="331"/>
      <c r="U132" s="305"/>
    </row>
    <row r="133" spans="1:21">
      <c r="A133" s="332" t="s">
        <v>78</v>
      </c>
      <c r="B133" s="244"/>
      <c r="C133" s="244"/>
      <c r="D133" s="244"/>
      <c r="E133" s="307">
        <v>54.03</v>
      </c>
      <c r="F133" s="308"/>
      <c r="G133" s="308"/>
      <c r="H133" s="307">
        <f>20.22+71.201</f>
        <v>91.420999999999992</v>
      </c>
      <c r="I133" s="309">
        <v>71.200999999999993</v>
      </c>
      <c r="J133" s="307">
        <v>20.22</v>
      </c>
      <c r="K133" s="309">
        <v>71.200999999999993</v>
      </c>
      <c r="L133" s="307">
        <v>20.22</v>
      </c>
      <c r="M133" s="313">
        <f>233.188+1157.675</f>
        <v>1390.8629999999998</v>
      </c>
      <c r="N133" s="310">
        <f t="shared" si="29"/>
        <v>1536.3139999999999</v>
      </c>
      <c r="O133" s="311">
        <f t="shared" si="30"/>
        <v>3.5168591837345753</v>
      </c>
      <c r="P133" s="238">
        <f t="shared" si="31"/>
        <v>5.9506715424060452</v>
      </c>
      <c r="Q133" s="239">
        <f t="shared" si="32"/>
        <v>90.532469273859377</v>
      </c>
      <c r="T133" s="331"/>
      <c r="U133" s="305"/>
    </row>
    <row r="134" spans="1:21">
      <c r="A134" s="332" t="s">
        <v>79</v>
      </c>
      <c r="B134" s="244"/>
      <c r="C134" s="244"/>
      <c r="D134" s="244"/>
      <c r="E134" s="307">
        <v>54.526000000000003</v>
      </c>
      <c r="F134" s="308"/>
      <c r="G134" s="308"/>
      <c r="H134" s="307">
        <f>21.657+36.198</f>
        <v>57.855000000000004</v>
      </c>
      <c r="I134" s="309">
        <v>36.198</v>
      </c>
      <c r="J134" s="307">
        <v>21.657</v>
      </c>
      <c r="K134" s="309">
        <v>36.198</v>
      </c>
      <c r="L134" s="307">
        <v>21.657</v>
      </c>
      <c r="M134" s="307">
        <f>57.257+179.632+597.592+550.17</f>
        <v>1384.6509999999998</v>
      </c>
      <c r="N134" s="310">
        <f t="shared" si="29"/>
        <v>1497.0319999999999</v>
      </c>
      <c r="O134" s="311">
        <f t="shared" si="30"/>
        <v>3.6422735118554588</v>
      </c>
      <c r="P134" s="238">
        <f t="shared" si="31"/>
        <v>3.8646468478963714</v>
      </c>
      <c r="Q134" s="239">
        <f t="shared" si="32"/>
        <v>92.493079640248169</v>
      </c>
      <c r="T134" s="331"/>
      <c r="U134" s="305"/>
    </row>
    <row r="135" spans="1:21">
      <c r="A135" s="332" t="s">
        <v>80</v>
      </c>
      <c r="B135" s="244"/>
      <c r="C135" s="244"/>
      <c r="D135" s="244"/>
      <c r="E135" s="307">
        <v>47.396999999999998</v>
      </c>
      <c r="F135" s="308"/>
      <c r="G135" s="308"/>
      <c r="H135" s="314">
        <v>63.601999999999997</v>
      </c>
      <c r="I135" s="309"/>
      <c r="J135" s="336">
        <v>63.601999999999997</v>
      </c>
      <c r="K135" s="309"/>
      <c r="L135" s="336">
        <v>63.601999999999997</v>
      </c>
      <c r="M135" s="315">
        <v>1463.432</v>
      </c>
      <c r="N135" s="310">
        <f t="shared" si="29"/>
        <v>1574.431</v>
      </c>
      <c r="O135" s="311">
        <f t="shared" si="30"/>
        <v>3.0104209076167834</v>
      </c>
      <c r="P135" s="238">
        <f t="shared" si="31"/>
        <v>4.0396816373661339</v>
      </c>
      <c r="Q135" s="239">
        <f t="shared" si="32"/>
        <v>92.94989745501708</v>
      </c>
      <c r="T135" s="331"/>
      <c r="U135" s="305"/>
    </row>
    <row r="136" spans="1:21">
      <c r="A136" s="306" t="s">
        <v>81</v>
      </c>
      <c r="B136" s="244"/>
      <c r="C136" s="244"/>
      <c r="D136" s="244"/>
      <c r="E136" s="307">
        <v>40.784999999999997</v>
      </c>
      <c r="F136" s="308"/>
      <c r="G136" s="308"/>
      <c r="H136" s="314">
        <f>28.611+27.459</f>
        <v>56.07</v>
      </c>
      <c r="I136" s="309"/>
      <c r="J136" s="336"/>
      <c r="K136" s="309"/>
      <c r="L136" s="336"/>
      <c r="M136" s="315">
        <f>103.437+124.856+1369.593-125.885</f>
        <v>1472.001</v>
      </c>
      <c r="N136" s="310">
        <f>SUM(E136,H136,M136)</f>
        <v>1568.856</v>
      </c>
      <c r="O136" s="311">
        <f>(E136/N136)*100</f>
        <v>2.5996649788125867</v>
      </c>
      <c r="P136" s="238">
        <f>(H136/N136)*100</f>
        <v>3.573941776683137</v>
      </c>
      <c r="Q136" s="239">
        <f>(M136/N136)*100</f>
        <v>93.826393244504274</v>
      </c>
      <c r="T136" s="331"/>
      <c r="U136" s="305"/>
    </row>
    <row r="137" spans="1:21">
      <c r="A137" s="306" t="s">
        <v>82</v>
      </c>
      <c r="B137" s="244"/>
      <c r="C137" s="244"/>
      <c r="D137" s="244"/>
      <c r="E137" s="307">
        <v>31.95</v>
      </c>
      <c r="F137" s="308"/>
      <c r="G137" s="308"/>
      <c r="H137" s="314">
        <v>66.26400000000001</v>
      </c>
      <c r="I137" s="309">
        <v>58.244999999999997</v>
      </c>
      <c r="J137" s="336">
        <v>17.577999999999999</v>
      </c>
      <c r="K137" s="309">
        <v>58.244999999999997</v>
      </c>
      <c r="L137" s="336">
        <v>17.577999999999999</v>
      </c>
      <c r="M137" s="315">
        <v>1410.6039999999998</v>
      </c>
      <c r="N137" s="310">
        <v>1508.8179999999998</v>
      </c>
      <c r="O137" s="311">
        <v>2.1175516198772817</v>
      </c>
      <c r="P137" s="238">
        <v>4.3917821765116809</v>
      </c>
      <c r="Q137" s="239">
        <v>93.490666203611042</v>
      </c>
      <c r="T137" s="331"/>
      <c r="U137" s="305"/>
    </row>
    <row r="138" spans="1:21" ht="14.25">
      <c r="A138" s="276" t="s">
        <v>164</v>
      </c>
      <c r="B138" s="316"/>
      <c r="C138" s="316"/>
      <c r="D138" s="316"/>
      <c r="E138" s="317"/>
      <c r="F138" s="318"/>
      <c r="G138" s="318"/>
      <c r="H138" s="319">
        <v>81.709000000000003</v>
      </c>
      <c r="I138" s="320"/>
      <c r="J138" s="321"/>
      <c r="K138" s="321"/>
      <c r="L138" s="321"/>
      <c r="M138" s="322">
        <v>1488.5119999999999</v>
      </c>
      <c r="N138" s="323">
        <f>SUM(E138,H138,M138)</f>
        <v>1570.221</v>
      </c>
      <c r="O138" s="324"/>
      <c r="P138" s="325">
        <f>(H138/N138)*100</f>
        <v>5.2036624143989929</v>
      </c>
      <c r="Q138" s="283">
        <f>(M138/N138)*100</f>
        <v>94.796337585601009</v>
      </c>
      <c r="T138" s="331"/>
      <c r="U138" s="305"/>
    </row>
    <row r="139" spans="1:21" ht="8.25" customHeight="1"/>
    <row r="140" spans="1:21">
      <c r="A140" s="338" t="s">
        <v>169</v>
      </c>
      <c r="O140" s="339"/>
      <c r="P140" s="339"/>
      <c r="Q140" s="339"/>
    </row>
    <row r="141" spans="1:21">
      <c r="A141" s="338" t="s">
        <v>170</v>
      </c>
    </row>
    <row r="142" spans="1:21">
      <c r="A142" s="338" t="s">
        <v>171</v>
      </c>
    </row>
    <row r="143" spans="1:21">
      <c r="A143" s="338" t="s">
        <v>93</v>
      </c>
    </row>
    <row r="144" spans="1:21">
      <c r="A144" s="338" t="s">
        <v>172</v>
      </c>
    </row>
    <row r="145" spans="1:1">
      <c r="A145" s="338" t="s">
        <v>173</v>
      </c>
    </row>
    <row r="146" spans="1:1">
      <c r="A146" s="338" t="s">
        <v>98</v>
      </c>
    </row>
  </sheetData>
  <pageMargins left="0.78740157480314965" right="0.78740157480314965" top="0.98425196850393704" bottom="0.98425196850393704" header="0.51181102362204722" footer="0.51181102362204722"/>
  <pageSetup paperSize="9" scale="89" fitToHeight="2" orientation="portrait" horizontalDpi="300" verticalDpi="300" r:id="rId1"/>
  <headerFooter alignWithMargins="0">
    <oddHeader>&amp;LBundesanstalt für Landwirtschaft 
und Ernährung Ref. 423&amp;CStruktur der Mühlenwirtschaft WJ 2012/13</oddHead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M154"/>
  <sheetViews>
    <sheetView showGridLines="0" zoomScaleNormal="100" workbookViewId="0">
      <selection activeCell="L73" sqref="L73"/>
    </sheetView>
  </sheetViews>
  <sheetFormatPr baseColWidth="10" defaultColWidth="9.7109375" defaultRowHeight="12.75"/>
  <cols>
    <col min="1" max="1" width="9.7109375" style="341" customWidth="1"/>
    <col min="2" max="8" width="9.28515625" style="341" customWidth="1"/>
    <col min="9" max="9" width="10.140625" style="341" bestFit="1" customWidth="1"/>
    <col min="10" max="247" width="9.7109375" style="341"/>
    <col min="248" max="248" width="9.7109375" style="341" customWidth="1"/>
    <col min="249" max="255" width="9.28515625" style="341" customWidth="1"/>
    <col min="256" max="256" width="10.140625" style="341" bestFit="1" customWidth="1"/>
    <col min="257" max="258" width="9.7109375" style="341"/>
    <col min="259" max="259" width="12.7109375" style="341" customWidth="1"/>
    <col min="260" max="260" width="12.28515625" style="341" customWidth="1"/>
    <col min="261" max="503" width="9.7109375" style="341"/>
    <col min="504" max="504" width="9.7109375" style="341" customWidth="1"/>
    <col min="505" max="511" width="9.28515625" style="341" customWidth="1"/>
    <col min="512" max="512" width="10.140625" style="341" bestFit="1" customWidth="1"/>
    <col min="513" max="514" width="9.7109375" style="341"/>
    <col min="515" max="515" width="12.7109375" style="341" customWidth="1"/>
    <col min="516" max="516" width="12.28515625" style="341" customWidth="1"/>
    <col min="517" max="759" width="9.7109375" style="341"/>
    <col min="760" max="760" width="9.7109375" style="341" customWidth="1"/>
    <col min="761" max="767" width="9.28515625" style="341" customWidth="1"/>
    <col min="768" max="768" width="10.140625" style="341" bestFit="1" customWidth="1"/>
    <col min="769" max="770" width="9.7109375" style="341"/>
    <col min="771" max="771" width="12.7109375" style="341" customWidth="1"/>
    <col min="772" max="772" width="12.28515625" style="341" customWidth="1"/>
    <col min="773" max="1015" width="9.7109375" style="341"/>
    <col min="1016" max="1016" width="9.7109375" style="341" customWidth="1"/>
    <col min="1017" max="1023" width="9.28515625" style="341" customWidth="1"/>
    <col min="1024" max="1024" width="10.140625" style="341" bestFit="1" customWidth="1"/>
    <col min="1025" max="1026" width="9.7109375" style="341"/>
    <col min="1027" max="1027" width="12.7109375" style="341" customWidth="1"/>
    <col min="1028" max="1028" width="12.28515625" style="341" customWidth="1"/>
    <col min="1029" max="1271" width="9.7109375" style="341"/>
    <col min="1272" max="1272" width="9.7109375" style="341" customWidth="1"/>
    <col min="1273" max="1279" width="9.28515625" style="341" customWidth="1"/>
    <col min="1280" max="1280" width="10.140625" style="341" bestFit="1" customWidth="1"/>
    <col min="1281" max="1282" width="9.7109375" style="341"/>
    <col min="1283" max="1283" width="12.7109375" style="341" customWidth="1"/>
    <col min="1284" max="1284" width="12.28515625" style="341" customWidth="1"/>
    <col min="1285" max="1527" width="9.7109375" style="341"/>
    <col min="1528" max="1528" width="9.7109375" style="341" customWidth="1"/>
    <col min="1529" max="1535" width="9.28515625" style="341" customWidth="1"/>
    <col min="1536" max="1536" width="10.140625" style="341" bestFit="1" customWidth="1"/>
    <col min="1537" max="1538" width="9.7109375" style="341"/>
    <col min="1539" max="1539" width="12.7109375" style="341" customWidth="1"/>
    <col min="1540" max="1540" width="12.28515625" style="341" customWidth="1"/>
    <col min="1541" max="1783" width="9.7109375" style="341"/>
    <col min="1784" max="1784" width="9.7109375" style="341" customWidth="1"/>
    <col min="1785" max="1791" width="9.28515625" style="341" customWidth="1"/>
    <col min="1792" max="1792" width="10.140625" style="341" bestFit="1" customWidth="1"/>
    <col min="1793" max="1794" width="9.7109375" style="341"/>
    <col min="1795" max="1795" width="12.7109375" style="341" customWidth="1"/>
    <col min="1796" max="1796" width="12.28515625" style="341" customWidth="1"/>
    <col min="1797" max="2039" width="9.7109375" style="341"/>
    <col min="2040" max="2040" width="9.7109375" style="341" customWidth="1"/>
    <col min="2041" max="2047" width="9.28515625" style="341" customWidth="1"/>
    <col min="2048" max="2048" width="10.140625" style="341" bestFit="1" customWidth="1"/>
    <col min="2049" max="2050" width="9.7109375" style="341"/>
    <col min="2051" max="2051" width="12.7109375" style="341" customWidth="1"/>
    <col min="2052" max="2052" width="12.28515625" style="341" customWidth="1"/>
    <col min="2053" max="2295" width="9.7109375" style="341"/>
    <col min="2296" max="2296" width="9.7109375" style="341" customWidth="1"/>
    <col min="2297" max="2303" width="9.28515625" style="341" customWidth="1"/>
    <col min="2304" max="2304" width="10.140625" style="341" bestFit="1" customWidth="1"/>
    <col min="2305" max="2306" width="9.7109375" style="341"/>
    <col min="2307" max="2307" width="12.7109375" style="341" customWidth="1"/>
    <col min="2308" max="2308" width="12.28515625" style="341" customWidth="1"/>
    <col min="2309" max="2551" width="9.7109375" style="341"/>
    <col min="2552" max="2552" width="9.7109375" style="341" customWidth="1"/>
    <col min="2553" max="2559" width="9.28515625" style="341" customWidth="1"/>
    <col min="2560" max="2560" width="10.140625" style="341" bestFit="1" customWidth="1"/>
    <col min="2561" max="2562" width="9.7109375" style="341"/>
    <col min="2563" max="2563" width="12.7109375" style="341" customWidth="1"/>
    <col min="2564" max="2564" width="12.28515625" style="341" customWidth="1"/>
    <col min="2565" max="2807" width="9.7109375" style="341"/>
    <col min="2808" max="2808" width="9.7109375" style="341" customWidth="1"/>
    <col min="2809" max="2815" width="9.28515625" style="341" customWidth="1"/>
    <col min="2816" max="2816" width="10.140625" style="341" bestFit="1" customWidth="1"/>
    <col min="2817" max="2818" width="9.7109375" style="341"/>
    <col min="2819" max="2819" width="12.7109375" style="341" customWidth="1"/>
    <col min="2820" max="2820" width="12.28515625" style="341" customWidth="1"/>
    <col min="2821" max="3063" width="9.7109375" style="341"/>
    <col min="3064" max="3064" width="9.7109375" style="341" customWidth="1"/>
    <col min="3065" max="3071" width="9.28515625" style="341" customWidth="1"/>
    <col min="3072" max="3072" width="10.140625" style="341" bestFit="1" customWidth="1"/>
    <col min="3073" max="3074" width="9.7109375" style="341"/>
    <col min="3075" max="3075" width="12.7109375" style="341" customWidth="1"/>
    <col min="3076" max="3076" width="12.28515625" style="341" customWidth="1"/>
    <col min="3077" max="3319" width="9.7109375" style="341"/>
    <col min="3320" max="3320" width="9.7109375" style="341" customWidth="1"/>
    <col min="3321" max="3327" width="9.28515625" style="341" customWidth="1"/>
    <col min="3328" max="3328" width="10.140625" style="341" bestFit="1" customWidth="1"/>
    <col min="3329" max="3330" width="9.7109375" style="341"/>
    <col min="3331" max="3331" width="12.7109375" style="341" customWidth="1"/>
    <col min="3332" max="3332" width="12.28515625" style="341" customWidth="1"/>
    <col min="3333" max="3575" width="9.7109375" style="341"/>
    <col min="3576" max="3576" width="9.7109375" style="341" customWidth="1"/>
    <col min="3577" max="3583" width="9.28515625" style="341" customWidth="1"/>
    <col min="3584" max="3584" width="10.140625" style="341" bestFit="1" customWidth="1"/>
    <col min="3585" max="3586" width="9.7109375" style="341"/>
    <col min="3587" max="3587" width="12.7109375" style="341" customWidth="1"/>
    <col min="3588" max="3588" width="12.28515625" style="341" customWidth="1"/>
    <col min="3589" max="3831" width="9.7109375" style="341"/>
    <col min="3832" max="3832" width="9.7109375" style="341" customWidth="1"/>
    <col min="3833" max="3839" width="9.28515625" style="341" customWidth="1"/>
    <col min="3840" max="3840" width="10.140625" style="341" bestFit="1" customWidth="1"/>
    <col min="3841" max="3842" width="9.7109375" style="341"/>
    <col min="3843" max="3843" width="12.7109375" style="341" customWidth="1"/>
    <col min="3844" max="3844" width="12.28515625" style="341" customWidth="1"/>
    <col min="3845" max="4087" width="9.7109375" style="341"/>
    <col min="4088" max="4088" width="9.7109375" style="341" customWidth="1"/>
    <col min="4089" max="4095" width="9.28515625" style="341" customWidth="1"/>
    <col min="4096" max="4096" width="10.140625" style="341" bestFit="1" customWidth="1"/>
    <col min="4097" max="4098" width="9.7109375" style="341"/>
    <col min="4099" max="4099" width="12.7109375" style="341" customWidth="1"/>
    <col min="4100" max="4100" width="12.28515625" style="341" customWidth="1"/>
    <col min="4101" max="4343" width="9.7109375" style="341"/>
    <col min="4344" max="4344" width="9.7109375" style="341" customWidth="1"/>
    <col min="4345" max="4351" width="9.28515625" style="341" customWidth="1"/>
    <col min="4352" max="4352" width="10.140625" style="341" bestFit="1" customWidth="1"/>
    <col min="4353" max="4354" width="9.7109375" style="341"/>
    <col min="4355" max="4355" width="12.7109375" style="341" customWidth="1"/>
    <col min="4356" max="4356" width="12.28515625" style="341" customWidth="1"/>
    <col min="4357" max="4599" width="9.7109375" style="341"/>
    <col min="4600" max="4600" width="9.7109375" style="341" customWidth="1"/>
    <col min="4601" max="4607" width="9.28515625" style="341" customWidth="1"/>
    <col min="4608" max="4608" width="10.140625" style="341" bestFit="1" customWidth="1"/>
    <col min="4609" max="4610" width="9.7109375" style="341"/>
    <col min="4611" max="4611" width="12.7109375" style="341" customWidth="1"/>
    <col min="4612" max="4612" width="12.28515625" style="341" customWidth="1"/>
    <col min="4613" max="4855" width="9.7109375" style="341"/>
    <col min="4856" max="4856" width="9.7109375" style="341" customWidth="1"/>
    <col min="4857" max="4863" width="9.28515625" style="341" customWidth="1"/>
    <col min="4864" max="4864" width="10.140625" style="341" bestFit="1" customWidth="1"/>
    <col min="4865" max="4866" width="9.7109375" style="341"/>
    <col min="4867" max="4867" width="12.7109375" style="341" customWidth="1"/>
    <col min="4868" max="4868" width="12.28515625" style="341" customWidth="1"/>
    <col min="4869" max="5111" width="9.7109375" style="341"/>
    <col min="5112" max="5112" width="9.7109375" style="341" customWidth="1"/>
    <col min="5113" max="5119" width="9.28515625" style="341" customWidth="1"/>
    <col min="5120" max="5120" width="10.140625" style="341" bestFit="1" customWidth="1"/>
    <col min="5121" max="5122" width="9.7109375" style="341"/>
    <col min="5123" max="5123" width="12.7109375" style="341" customWidth="1"/>
    <col min="5124" max="5124" width="12.28515625" style="341" customWidth="1"/>
    <col min="5125" max="5367" width="9.7109375" style="341"/>
    <col min="5368" max="5368" width="9.7109375" style="341" customWidth="1"/>
    <col min="5369" max="5375" width="9.28515625" style="341" customWidth="1"/>
    <col min="5376" max="5376" width="10.140625" style="341" bestFit="1" customWidth="1"/>
    <col min="5377" max="5378" width="9.7109375" style="341"/>
    <col min="5379" max="5379" width="12.7109375" style="341" customWidth="1"/>
    <col min="5380" max="5380" width="12.28515625" style="341" customWidth="1"/>
    <col min="5381" max="5623" width="9.7109375" style="341"/>
    <col min="5624" max="5624" width="9.7109375" style="341" customWidth="1"/>
    <col min="5625" max="5631" width="9.28515625" style="341" customWidth="1"/>
    <col min="5632" max="5632" width="10.140625" style="341" bestFit="1" customWidth="1"/>
    <col min="5633" max="5634" width="9.7109375" style="341"/>
    <col min="5635" max="5635" width="12.7109375" style="341" customWidth="1"/>
    <col min="5636" max="5636" width="12.28515625" style="341" customWidth="1"/>
    <col min="5637" max="5879" width="9.7109375" style="341"/>
    <col min="5880" max="5880" width="9.7109375" style="341" customWidth="1"/>
    <col min="5881" max="5887" width="9.28515625" style="341" customWidth="1"/>
    <col min="5888" max="5888" width="10.140625" style="341" bestFit="1" customWidth="1"/>
    <col min="5889" max="5890" width="9.7109375" style="341"/>
    <col min="5891" max="5891" width="12.7109375" style="341" customWidth="1"/>
    <col min="5892" max="5892" width="12.28515625" style="341" customWidth="1"/>
    <col min="5893" max="6135" width="9.7109375" style="341"/>
    <col min="6136" max="6136" width="9.7109375" style="341" customWidth="1"/>
    <col min="6137" max="6143" width="9.28515625" style="341" customWidth="1"/>
    <col min="6144" max="6144" width="10.140625" style="341" bestFit="1" customWidth="1"/>
    <col min="6145" max="6146" width="9.7109375" style="341"/>
    <col min="6147" max="6147" width="12.7109375" style="341" customWidth="1"/>
    <col min="6148" max="6148" width="12.28515625" style="341" customWidth="1"/>
    <col min="6149" max="6391" width="9.7109375" style="341"/>
    <col min="6392" max="6392" width="9.7109375" style="341" customWidth="1"/>
    <col min="6393" max="6399" width="9.28515625" style="341" customWidth="1"/>
    <col min="6400" max="6400" width="10.140625" style="341" bestFit="1" customWidth="1"/>
    <col min="6401" max="6402" width="9.7109375" style="341"/>
    <col min="6403" max="6403" width="12.7109375" style="341" customWidth="1"/>
    <col min="6404" max="6404" width="12.28515625" style="341" customWidth="1"/>
    <col min="6405" max="6647" width="9.7109375" style="341"/>
    <col min="6648" max="6648" width="9.7109375" style="341" customWidth="1"/>
    <col min="6649" max="6655" width="9.28515625" style="341" customWidth="1"/>
    <col min="6656" max="6656" width="10.140625" style="341" bestFit="1" customWidth="1"/>
    <col min="6657" max="6658" width="9.7109375" style="341"/>
    <col min="6659" max="6659" width="12.7109375" style="341" customWidth="1"/>
    <col min="6660" max="6660" width="12.28515625" style="341" customWidth="1"/>
    <col min="6661" max="6903" width="9.7109375" style="341"/>
    <col min="6904" max="6904" width="9.7109375" style="341" customWidth="1"/>
    <col min="6905" max="6911" width="9.28515625" style="341" customWidth="1"/>
    <col min="6912" max="6912" width="10.140625" style="341" bestFit="1" customWidth="1"/>
    <col min="6913" max="6914" width="9.7109375" style="341"/>
    <col min="6915" max="6915" width="12.7109375" style="341" customWidth="1"/>
    <col min="6916" max="6916" width="12.28515625" style="341" customWidth="1"/>
    <col min="6917" max="7159" width="9.7109375" style="341"/>
    <col min="7160" max="7160" width="9.7109375" style="341" customWidth="1"/>
    <col min="7161" max="7167" width="9.28515625" style="341" customWidth="1"/>
    <col min="7168" max="7168" width="10.140625" style="341" bestFit="1" customWidth="1"/>
    <col min="7169" max="7170" width="9.7109375" style="341"/>
    <col min="7171" max="7171" width="12.7109375" style="341" customWidth="1"/>
    <col min="7172" max="7172" width="12.28515625" style="341" customWidth="1"/>
    <col min="7173" max="7415" width="9.7109375" style="341"/>
    <col min="7416" max="7416" width="9.7109375" style="341" customWidth="1"/>
    <col min="7417" max="7423" width="9.28515625" style="341" customWidth="1"/>
    <col min="7424" max="7424" width="10.140625" style="341" bestFit="1" customWidth="1"/>
    <col min="7425" max="7426" width="9.7109375" style="341"/>
    <col min="7427" max="7427" width="12.7109375" style="341" customWidth="1"/>
    <col min="7428" max="7428" width="12.28515625" style="341" customWidth="1"/>
    <col min="7429" max="7671" width="9.7109375" style="341"/>
    <col min="7672" max="7672" width="9.7109375" style="341" customWidth="1"/>
    <col min="7673" max="7679" width="9.28515625" style="341" customWidth="1"/>
    <col min="7680" max="7680" width="10.140625" style="341" bestFit="1" customWidth="1"/>
    <col min="7681" max="7682" width="9.7109375" style="341"/>
    <col min="7683" max="7683" width="12.7109375" style="341" customWidth="1"/>
    <col min="7684" max="7684" width="12.28515625" style="341" customWidth="1"/>
    <col min="7685" max="7927" width="9.7109375" style="341"/>
    <col min="7928" max="7928" width="9.7109375" style="341" customWidth="1"/>
    <col min="7929" max="7935" width="9.28515625" style="341" customWidth="1"/>
    <col min="7936" max="7936" width="10.140625" style="341" bestFit="1" customWidth="1"/>
    <col min="7937" max="7938" width="9.7109375" style="341"/>
    <col min="7939" max="7939" width="12.7109375" style="341" customWidth="1"/>
    <col min="7940" max="7940" width="12.28515625" style="341" customWidth="1"/>
    <col min="7941" max="8183" width="9.7109375" style="341"/>
    <col min="8184" max="8184" width="9.7109375" style="341" customWidth="1"/>
    <col min="8185" max="8191" width="9.28515625" style="341" customWidth="1"/>
    <col min="8192" max="8192" width="10.140625" style="341" bestFit="1" customWidth="1"/>
    <col min="8193" max="8194" width="9.7109375" style="341"/>
    <col min="8195" max="8195" width="12.7109375" style="341" customWidth="1"/>
    <col min="8196" max="8196" width="12.28515625" style="341" customWidth="1"/>
    <col min="8197" max="8439" width="9.7109375" style="341"/>
    <col min="8440" max="8440" width="9.7109375" style="341" customWidth="1"/>
    <col min="8441" max="8447" width="9.28515625" style="341" customWidth="1"/>
    <col min="8448" max="8448" width="10.140625" style="341" bestFit="1" customWidth="1"/>
    <col min="8449" max="8450" width="9.7109375" style="341"/>
    <col min="8451" max="8451" width="12.7109375" style="341" customWidth="1"/>
    <col min="8452" max="8452" width="12.28515625" style="341" customWidth="1"/>
    <col min="8453" max="8695" width="9.7109375" style="341"/>
    <col min="8696" max="8696" width="9.7109375" style="341" customWidth="1"/>
    <col min="8697" max="8703" width="9.28515625" style="341" customWidth="1"/>
    <col min="8704" max="8704" width="10.140625" style="341" bestFit="1" customWidth="1"/>
    <col min="8705" max="8706" width="9.7109375" style="341"/>
    <col min="8707" max="8707" width="12.7109375" style="341" customWidth="1"/>
    <col min="8708" max="8708" width="12.28515625" style="341" customWidth="1"/>
    <col min="8709" max="8951" width="9.7109375" style="341"/>
    <col min="8952" max="8952" width="9.7109375" style="341" customWidth="1"/>
    <col min="8953" max="8959" width="9.28515625" style="341" customWidth="1"/>
    <col min="8960" max="8960" width="10.140625" style="341" bestFit="1" customWidth="1"/>
    <col min="8961" max="8962" width="9.7109375" style="341"/>
    <col min="8963" max="8963" width="12.7109375" style="341" customWidth="1"/>
    <col min="8964" max="8964" width="12.28515625" style="341" customWidth="1"/>
    <col min="8965" max="9207" width="9.7109375" style="341"/>
    <col min="9208" max="9208" width="9.7109375" style="341" customWidth="1"/>
    <col min="9209" max="9215" width="9.28515625" style="341" customWidth="1"/>
    <col min="9216" max="9216" width="10.140625" style="341" bestFit="1" customWidth="1"/>
    <col min="9217" max="9218" width="9.7109375" style="341"/>
    <col min="9219" max="9219" width="12.7109375" style="341" customWidth="1"/>
    <col min="9220" max="9220" width="12.28515625" style="341" customWidth="1"/>
    <col min="9221" max="9463" width="9.7109375" style="341"/>
    <col min="9464" max="9464" width="9.7109375" style="341" customWidth="1"/>
    <col min="9465" max="9471" width="9.28515625" style="341" customWidth="1"/>
    <col min="9472" max="9472" width="10.140625" style="341" bestFit="1" customWidth="1"/>
    <col min="9473" max="9474" width="9.7109375" style="341"/>
    <col min="9475" max="9475" width="12.7109375" style="341" customWidth="1"/>
    <col min="9476" max="9476" width="12.28515625" style="341" customWidth="1"/>
    <col min="9477" max="9719" width="9.7109375" style="341"/>
    <col min="9720" max="9720" width="9.7109375" style="341" customWidth="1"/>
    <col min="9721" max="9727" width="9.28515625" style="341" customWidth="1"/>
    <col min="9728" max="9728" width="10.140625" style="341" bestFit="1" customWidth="1"/>
    <col min="9729" max="9730" width="9.7109375" style="341"/>
    <col min="9731" max="9731" width="12.7109375" style="341" customWidth="1"/>
    <col min="9732" max="9732" width="12.28515625" style="341" customWidth="1"/>
    <col min="9733" max="9975" width="9.7109375" style="341"/>
    <col min="9976" max="9976" width="9.7109375" style="341" customWidth="1"/>
    <col min="9977" max="9983" width="9.28515625" style="341" customWidth="1"/>
    <col min="9984" max="9984" width="10.140625" style="341" bestFit="1" customWidth="1"/>
    <col min="9985" max="9986" width="9.7109375" style="341"/>
    <col min="9987" max="9987" width="12.7109375" style="341" customWidth="1"/>
    <col min="9988" max="9988" width="12.28515625" style="341" customWidth="1"/>
    <col min="9989" max="10231" width="9.7109375" style="341"/>
    <col min="10232" max="10232" width="9.7109375" style="341" customWidth="1"/>
    <col min="10233" max="10239" width="9.28515625" style="341" customWidth="1"/>
    <col min="10240" max="10240" width="10.140625" style="341" bestFit="1" customWidth="1"/>
    <col min="10241" max="10242" width="9.7109375" style="341"/>
    <col min="10243" max="10243" width="12.7109375" style="341" customWidth="1"/>
    <col min="10244" max="10244" width="12.28515625" style="341" customWidth="1"/>
    <col min="10245" max="10487" width="9.7109375" style="341"/>
    <col min="10488" max="10488" width="9.7109375" style="341" customWidth="1"/>
    <col min="10489" max="10495" width="9.28515625" style="341" customWidth="1"/>
    <col min="10496" max="10496" width="10.140625" style="341" bestFit="1" customWidth="1"/>
    <col min="10497" max="10498" width="9.7109375" style="341"/>
    <col min="10499" max="10499" width="12.7109375" style="341" customWidth="1"/>
    <col min="10500" max="10500" width="12.28515625" style="341" customWidth="1"/>
    <col min="10501" max="10743" width="9.7109375" style="341"/>
    <col min="10744" max="10744" width="9.7109375" style="341" customWidth="1"/>
    <col min="10745" max="10751" width="9.28515625" style="341" customWidth="1"/>
    <col min="10752" max="10752" width="10.140625" style="341" bestFit="1" customWidth="1"/>
    <col min="10753" max="10754" width="9.7109375" style="341"/>
    <col min="10755" max="10755" width="12.7109375" style="341" customWidth="1"/>
    <col min="10756" max="10756" width="12.28515625" style="341" customWidth="1"/>
    <col min="10757" max="10999" width="9.7109375" style="341"/>
    <col min="11000" max="11000" width="9.7109375" style="341" customWidth="1"/>
    <col min="11001" max="11007" width="9.28515625" style="341" customWidth="1"/>
    <col min="11008" max="11008" width="10.140625" style="341" bestFit="1" customWidth="1"/>
    <col min="11009" max="11010" width="9.7109375" style="341"/>
    <col min="11011" max="11011" width="12.7109375" style="341" customWidth="1"/>
    <col min="11012" max="11012" width="12.28515625" style="341" customWidth="1"/>
    <col min="11013" max="11255" width="9.7109375" style="341"/>
    <col min="11256" max="11256" width="9.7109375" style="341" customWidth="1"/>
    <col min="11257" max="11263" width="9.28515625" style="341" customWidth="1"/>
    <col min="11264" max="11264" width="10.140625" style="341" bestFit="1" customWidth="1"/>
    <col min="11265" max="11266" width="9.7109375" style="341"/>
    <col min="11267" max="11267" width="12.7109375" style="341" customWidth="1"/>
    <col min="11268" max="11268" width="12.28515625" style="341" customWidth="1"/>
    <col min="11269" max="11511" width="9.7109375" style="341"/>
    <col min="11512" max="11512" width="9.7109375" style="341" customWidth="1"/>
    <col min="11513" max="11519" width="9.28515625" style="341" customWidth="1"/>
    <col min="11520" max="11520" width="10.140625" style="341" bestFit="1" customWidth="1"/>
    <col min="11521" max="11522" width="9.7109375" style="341"/>
    <col min="11523" max="11523" width="12.7109375" style="341" customWidth="1"/>
    <col min="11524" max="11524" width="12.28515625" style="341" customWidth="1"/>
    <col min="11525" max="11767" width="9.7109375" style="341"/>
    <col min="11768" max="11768" width="9.7109375" style="341" customWidth="1"/>
    <col min="11769" max="11775" width="9.28515625" style="341" customWidth="1"/>
    <col min="11776" max="11776" width="10.140625" style="341" bestFit="1" customWidth="1"/>
    <col min="11777" max="11778" width="9.7109375" style="341"/>
    <col min="11779" max="11779" width="12.7109375" style="341" customWidth="1"/>
    <col min="11780" max="11780" width="12.28515625" style="341" customWidth="1"/>
    <col min="11781" max="12023" width="9.7109375" style="341"/>
    <col min="12024" max="12024" width="9.7109375" style="341" customWidth="1"/>
    <col min="12025" max="12031" width="9.28515625" style="341" customWidth="1"/>
    <col min="12032" max="12032" width="10.140625" style="341" bestFit="1" customWidth="1"/>
    <col min="12033" max="12034" width="9.7109375" style="341"/>
    <col min="12035" max="12035" width="12.7109375" style="341" customWidth="1"/>
    <col min="12036" max="12036" width="12.28515625" style="341" customWidth="1"/>
    <col min="12037" max="12279" width="9.7109375" style="341"/>
    <col min="12280" max="12280" width="9.7109375" style="341" customWidth="1"/>
    <col min="12281" max="12287" width="9.28515625" style="341" customWidth="1"/>
    <col min="12288" max="12288" width="10.140625" style="341" bestFit="1" customWidth="1"/>
    <col min="12289" max="12290" width="9.7109375" style="341"/>
    <col min="12291" max="12291" width="12.7109375" style="341" customWidth="1"/>
    <col min="12292" max="12292" width="12.28515625" style="341" customWidth="1"/>
    <col min="12293" max="12535" width="9.7109375" style="341"/>
    <col min="12536" max="12536" width="9.7109375" style="341" customWidth="1"/>
    <col min="12537" max="12543" width="9.28515625" style="341" customWidth="1"/>
    <col min="12544" max="12544" width="10.140625" style="341" bestFit="1" customWidth="1"/>
    <col min="12545" max="12546" width="9.7109375" style="341"/>
    <col min="12547" max="12547" width="12.7109375" style="341" customWidth="1"/>
    <col min="12548" max="12548" width="12.28515625" style="341" customWidth="1"/>
    <col min="12549" max="12791" width="9.7109375" style="341"/>
    <col min="12792" max="12792" width="9.7109375" style="341" customWidth="1"/>
    <col min="12793" max="12799" width="9.28515625" style="341" customWidth="1"/>
    <col min="12800" max="12800" width="10.140625" style="341" bestFit="1" customWidth="1"/>
    <col min="12801" max="12802" width="9.7109375" style="341"/>
    <col min="12803" max="12803" width="12.7109375" style="341" customWidth="1"/>
    <col min="12804" max="12804" width="12.28515625" style="341" customWidth="1"/>
    <col min="12805" max="13047" width="9.7109375" style="341"/>
    <col min="13048" max="13048" width="9.7109375" style="341" customWidth="1"/>
    <col min="13049" max="13055" width="9.28515625" style="341" customWidth="1"/>
    <col min="13056" max="13056" width="10.140625" style="341" bestFit="1" customWidth="1"/>
    <col min="13057" max="13058" width="9.7109375" style="341"/>
    <col min="13059" max="13059" width="12.7109375" style="341" customWidth="1"/>
    <col min="13060" max="13060" width="12.28515625" style="341" customWidth="1"/>
    <col min="13061" max="13303" width="9.7109375" style="341"/>
    <col min="13304" max="13304" width="9.7109375" style="341" customWidth="1"/>
    <col min="13305" max="13311" width="9.28515625" style="341" customWidth="1"/>
    <col min="13312" max="13312" width="10.140625" style="341" bestFit="1" customWidth="1"/>
    <col min="13313" max="13314" width="9.7109375" style="341"/>
    <col min="13315" max="13315" width="12.7109375" style="341" customWidth="1"/>
    <col min="13316" max="13316" width="12.28515625" style="341" customWidth="1"/>
    <col min="13317" max="13559" width="9.7109375" style="341"/>
    <col min="13560" max="13560" width="9.7109375" style="341" customWidth="1"/>
    <col min="13561" max="13567" width="9.28515625" style="341" customWidth="1"/>
    <col min="13568" max="13568" width="10.140625" style="341" bestFit="1" customWidth="1"/>
    <col min="13569" max="13570" width="9.7109375" style="341"/>
    <col min="13571" max="13571" width="12.7109375" style="341" customWidth="1"/>
    <col min="13572" max="13572" width="12.28515625" style="341" customWidth="1"/>
    <col min="13573" max="13815" width="9.7109375" style="341"/>
    <col min="13816" max="13816" width="9.7109375" style="341" customWidth="1"/>
    <col min="13817" max="13823" width="9.28515625" style="341" customWidth="1"/>
    <col min="13824" max="13824" width="10.140625" style="341" bestFit="1" customWidth="1"/>
    <col min="13825" max="13826" width="9.7109375" style="341"/>
    <col min="13827" max="13827" width="12.7109375" style="341" customWidth="1"/>
    <col min="13828" max="13828" width="12.28515625" style="341" customWidth="1"/>
    <col min="13829" max="14071" width="9.7109375" style="341"/>
    <col min="14072" max="14072" width="9.7109375" style="341" customWidth="1"/>
    <col min="14073" max="14079" width="9.28515625" style="341" customWidth="1"/>
    <col min="14080" max="14080" width="10.140625" style="341" bestFit="1" customWidth="1"/>
    <col min="14081" max="14082" width="9.7109375" style="341"/>
    <col min="14083" max="14083" width="12.7109375" style="341" customWidth="1"/>
    <col min="14084" max="14084" width="12.28515625" style="341" customWidth="1"/>
    <col min="14085" max="14327" width="9.7109375" style="341"/>
    <col min="14328" max="14328" width="9.7109375" style="341" customWidth="1"/>
    <col min="14329" max="14335" width="9.28515625" style="341" customWidth="1"/>
    <col min="14336" max="14336" width="10.140625" style="341" bestFit="1" customWidth="1"/>
    <col min="14337" max="14338" width="9.7109375" style="341"/>
    <col min="14339" max="14339" width="12.7109375" style="341" customWidth="1"/>
    <col min="14340" max="14340" width="12.28515625" style="341" customWidth="1"/>
    <col min="14341" max="14583" width="9.7109375" style="341"/>
    <col min="14584" max="14584" width="9.7109375" style="341" customWidth="1"/>
    <col min="14585" max="14591" width="9.28515625" style="341" customWidth="1"/>
    <col min="14592" max="14592" width="10.140625" style="341" bestFit="1" customWidth="1"/>
    <col min="14593" max="14594" width="9.7109375" style="341"/>
    <col min="14595" max="14595" width="12.7109375" style="341" customWidth="1"/>
    <col min="14596" max="14596" width="12.28515625" style="341" customWidth="1"/>
    <col min="14597" max="14839" width="9.7109375" style="341"/>
    <col min="14840" max="14840" width="9.7109375" style="341" customWidth="1"/>
    <col min="14841" max="14847" width="9.28515625" style="341" customWidth="1"/>
    <col min="14848" max="14848" width="10.140625" style="341" bestFit="1" customWidth="1"/>
    <col min="14849" max="14850" width="9.7109375" style="341"/>
    <col min="14851" max="14851" width="12.7109375" style="341" customWidth="1"/>
    <col min="14852" max="14852" width="12.28515625" style="341" customWidth="1"/>
    <col min="14853" max="15095" width="9.7109375" style="341"/>
    <col min="15096" max="15096" width="9.7109375" style="341" customWidth="1"/>
    <col min="15097" max="15103" width="9.28515625" style="341" customWidth="1"/>
    <col min="15104" max="15104" width="10.140625" style="341" bestFit="1" customWidth="1"/>
    <col min="15105" max="15106" width="9.7109375" style="341"/>
    <col min="15107" max="15107" width="12.7109375" style="341" customWidth="1"/>
    <col min="15108" max="15108" width="12.28515625" style="341" customWidth="1"/>
    <col min="15109" max="15351" width="9.7109375" style="341"/>
    <col min="15352" max="15352" width="9.7109375" style="341" customWidth="1"/>
    <col min="15353" max="15359" width="9.28515625" style="341" customWidth="1"/>
    <col min="15360" max="15360" width="10.140625" style="341" bestFit="1" customWidth="1"/>
    <col min="15361" max="15362" width="9.7109375" style="341"/>
    <col min="15363" max="15363" width="12.7109375" style="341" customWidth="1"/>
    <col min="15364" max="15364" width="12.28515625" style="341" customWidth="1"/>
    <col min="15365" max="15607" width="9.7109375" style="341"/>
    <col min="15608" max="15608" width="9.7109375" style="341" customWidth="1"/>
    <col min="15609" max="15615" width="9.28515625" style="341" customWidth="1"/>
    <col min="15616" max="15616" width="10.140625" style="341" bestFit="1" customWidth="1"/>
    <col min="15617" max="15618" width="9.7109375" style="341"/>
    <col min="15619" max="15619" width="12.7109375" style="341" customWidth="1"/>
    <col min="15620" max="15620" width="12.28515625" style="341" customWidth="1"/>
    <col min="15621" max="15863" width="9.7109375" style="341"/>
    <col min="15864" max="15864" width="9.7109375" style="341" customWidth="1"/>
    <col min="15865" max="15871" width="9.28515625" style="341" customWidth="1"/>
    <col min="15872" max="15872" width="10.140625" style="341" bestFit="1" customWidth="1"/>
    <col min="15873" max="15874" width="9.7109375" style="341"/>
    <col min="15875" max="15875" width="12.7109375" style="341" customWidth="1"/>
    <col min="15876" max="15876" width="12.28515625" style="341" customWidth="1"/>
    <col min="15877" max="16119" width="9.7109375" style="341"/>
    <col min="16120" max="16120" width="9.7109375" style="341" customWidth="1"/>
    <col min="16121" max="16127" width="9.28515625" style="341" customWidth="1"/>
    <col min="16128" max="16128" width="10.140625" style="341" bestFit="1" customWidth="1"/>
    <col min="16129" max="16130" width="9.7109375" style="341"/>
    <col min="16131" max="16131" width="12.7109375" style="341" customWidth="1"/>
    <col min="16132" max="16132" width="12.28515625" style="341" customWidth="1"/>
    <col min="16133" max="16384" width="9.7109375" style="341"/>
  </cols>
  <sheetData>
    <row r="1" spans="1:247">
      <c r="A1" s="340"/>
    </row>
    <row r="2" spans="1:247" s="343" customFormat="1" ht="15.75">
      <c r="A2" s="342" t="s">
        <v>174</v>
      </c>
    </row>
    <row r="3" spans="1:247" s="343" customFormat="1" ht="15.75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  <c r="BM3" s="344"/>
      <c r="BN3" s="344"/>
      <c r="BO3" s="344"/>
      <c r="BP3" s="344"/>
      <c r="BQ3" s="344"/>
      <c r="BR3" s="344"/>
      <c r="BS3" s="344"/>
      <c r="BT3" s="344"/>
      <c r="BU3" s="344"/>
      <c r="BV3" s="344"/>
      <c r="BW3" s="344"/>
      <c r="BX3" s="344"/>
      <c r="BY3" s="344"/>
      <c r="BZ3" s="344"/>
      <c r="CA3" s="344"/>
      <c r="CB3" s="344"/>
      <c r="CC3" s="344"/>
      <c r="CD3" s="344"/>
      <c r="CE3" s="344"/>
      <c r="CF3" s="344"/>
      <c r="CG3" s="344"/>
      <c r="CH3" s="344"/>
      <c r="CI3" s="344"/>
      <c r="CJ3" s="344"/>
      <c r="CK3" s="344"/>
      <c r="CL3" s="344"/>
      <c r="CM3" s="344"/>
      <c r="CN3" s="344"/>
      <c r="CO3" s="344"/>
      <c r="CP3" s="344"/>
      <c r="CQ3" s="344"/>
      <c r="CR3" s="344"/>
      <c r="CS3" s="344"/>
      <c r="CT3" s="344"/>
      <c r="CU3" s="344"/>
      <c r="CV3" s="344"/>
      <c r="CW3" s="344"/>
      <c r="CX3" s="344"/>
      <c r="CY3" s="344"/>
      <c r="CZ3" s="344"/>
      <c r="DA3" s="344"/>
      <c r="DB3" s="344"/>
      <c r="DC3" s="344"/>
      <c r="DD3" s="344"/>
      <c r="DE3" s="344"/>
      <c r="DF3" s="344"/>
      <c r="DG3" s="344"/>
      <c r="DH3" s="344"/>
      <c r="DI3" s="344"/>
      <c r="DJ3" s="344"/>
      <c r="DK3" s="344"/>
      <c r="DL3" s="344"/>
      <c r="DM3" s="344"/>
      <c r="DN3" s="344"/>
      <c r="DO3" s="344"/>
      <c r="DP3" s="344"/>
      <c r="DQ3" s="344"/>
      <c r="DR3" s="344"/>
      <c r="DS3" s="344"/>
      <c r="DT3" s="344"/>
      <c r="DU3" s="344"/>
      <c r="DV3" s="344"/>
      <c r="DW3" s="344"/>
      <c r="DX3" s="344"/>
      <c r="DY3" s="344"/>
      <c r="DZ3" s="344"/>
      <c r="EA3" s="344"/>
      <c r="EB3" s="344"/>
      <c r="EC3" s="344"/>
      <c r="ED3" s="344"/>
      <c r="EE3" s="344"/>
      <c r="EF3" s="344"/>
      <c r="EG3" s="344"/>
      <c r="EH3" s="344"/>
      <c r="EI3" s="344"/>
      <c r="EJ3" s="344"/>
      <c r="EK3" s="344"/>
      <c r="EL3" s="344"/>
      <c r="EM3" s="344"/>
      <c r="EN3" s="344"/>
      <c r="EO3" s="344"/>
      <c r="EP3" s="344"/>
      <c r="EQ3" s="344"/>
      <c r="ER3" s="344"/>
      <c r="ES3" s="344"/>
      <c r="ET3" s="344"/>
      <c r="EU3" s="344"/>
      <c r="EV3" s="344"/>
      <c r="EW3" s="344"/>
      <c r="EX3" s="344"/>
      <c r="EY3" s="344"/>
      <c r="EZ3" s="344"/>
      <c r="FA3" s="344"/>
      <c r="FB3" s="344"/>
      <c r="FC3" s="344"/>
      <c r="FD3" s="344"/>
      <c r="FE3" s="344"/>
      <c r="FF3" s="344"/>
      <c r="FG3" s="344"/>
      <c r="FH3" s="344"/>
      <c r="FI3" s="344"/>
      <c r="FJ3" s="344"/>
      <c r="FK3" s="344"/>
      <c r="FL3" s="344"/>
      <c r="FM3" s="344"/>
      <c r="FN3" s="344"/>
      <c r="FO3" s="344"/>
      <c r="FP3" s="344"/>
      <c r="FQ3" s="344"/>
      <c r="FR3" s="344"/>
      <c r="FS3" s="344"/>
      <c r="FT3" s="344"/>
      <c r="FU3" s="344"/>
      <c r="FV3" s="344"/>
      <c r="FW3" s="344"/>
      <c r="FX3" s="344"/>
      <c r="FY3" s="344"/>
      <c r="FZ3" s="344"/>
      <c r="GA3" s="344"/>
      <c r="GB3" s="344"/>
      <c r="GC3" s="344"/>
      <c r="GD3" s="344"/>
      <c r="GE3" s="344"/>
      <c r="GF3" s="344"/>
      <c r="GG3" s="344"/>
      <c r="GH3" s="344"/>
      <c r="GI3" s="344"/>
      <c r="GJ3" s="344"/>
      <c r="GK3" s="344"/>
      <c r="GL3" s="344"/>
      <c r="GM3" s="344"/>
      <c r="GN3" s="344"/>
      <c r="GO3" s="344"/>
      <c r="GP3" s="344"/>
      <c r="GQ3" s="344"/>
      <c r="GR3" s="344"/>
      <c r="GS3" s="344"/>
      <c r="GT3" s="344"/>
      <c r="GU3" s="344"/>
      <c r="GV3" s="344"/>
      <c r="GW3" s="344"/>
      <c r="GX3" s="344"/>
      <c r="GY3" s="344"/>
      <c r="GZ3" s="344"/>
      <c r="HA3" s="344"/>
      <c r="HB3" s="344"/>
      <c r="HC3" s="344"/>
      <c r="HD3" s="344"/>
      <c r="HE3" s="344"/>
      <c r="HF3" s="344"/>
      <c r="HG3" s="344"/>
      <c r="HH3" s="344"/>
      <c r="HI3" s="344"/>
      <c r="HJ3" s="344"/>
      <c r="HK3" s="344"/>
      <c r="HL3" s="344"/>
      <c r="HM3" s="344"/>
      <c r="HN3" s="344"/>
      <c r="HO3" s="344"/>
      <c r="HP3" s="344"/>
      <c r="HQ3" s="344"/>
      <c r="HR3" s="344"/>
      <c r="HS3" s="344"/>
      <c r="HT3" s="344"/>
      <c r="HU3" s="344"/>
      <c r="HV3" s="344"/>
      <c r="HW3" s="344"/>
      <c r="HX3" s="344"/>
      <c r="HY3" s="344"/>
      <c r="HZ3" s="344"/>
      <c r="IA3" s="344"/>
      <c r="IB3" s="344"/>
      <c r="IC3" s="344"/>
      <c r="ID3" s="344"/>
      <c r="IE3" s="344"/>
      <c r="IF3" s="344"/>
      <c r="IG3" s="344"/>
      <c r="IH3" s="344"/>
      <c r="II3" s="344"/>
      <c r="IJ3" s="344"/>
      <c r="IK3" s="344"/>
      <c r="IL3" s="344"/>
      <c r="IM3" s="344"/>
    </row>
    <row r="4" spans="1:247" s="349" customFormat="1">
      <c r="A4" s="345"/>
      <c r="B4" s="346"/>
      <c r="C4" s="347">
        <v>500</v>
      </c>
      <c r="D4" s="347" t="s">
        <v>175</v>
      </c>
      <c r="E4" s="347" t="s">
        <v>17</v>
      </c>
      <c r="F4" s="347" t="s">
        <v>176</v>
      </c>
      <c r="G4" s="347" t="s">
        <v>18</v>
      </c>
      <c r="H4" s="346"/>
      <c r="I4" s="348"/>
    </row>
    <row r="5" spans="1:247" s="349" customFormat="1" ht="14.25">
      <c r="A5" s="350" t="s">
        <v>143</v>
      </c>
      <c r="B5" s="351" t="s">
        <v>22</v>
      </c>
      <c r="C5" s="351" t="s">
        <v>22</v>
      </c>
      <c r="D5" s="351" t="s">
        <v>22</v>
      </c>
      <c r="E5" s="351" t="s">
        <v>22</v>
      </c>
      <c r="F5" s="351" t="s">
        <v>22</v>
      </c>
      <c r="G5" s="351" t="s">
        <v>22</v>
      </c>
      <c r="H5" s="351" t="s">
        <v>23</v>
      </c>
      <c r="I5" s="350" t="s">
        <v>177</v>
      </c>
    </row>
    <row r="6" spans="1:247" s="349" customFormat="1" ht="14.25">
      <c r="A6" s="352"/>
      <c r="B6" s="353" t="s">
        <v>178</v>
      </c>
      <c r="C6" s="353" t="s">
        <v>179</v>
      </c>
      <c r="D6" s="353" t="s">
        <v>26</v>
      </c>
      <c r="E6" s="353" t="s">
        <v>180</v>
      </c>
      <c r="F6" s="353" t="s">
        <v>27</v>
      </c>
      <c r="G6" s="353" t="s">
        <v>23</v>
      </c>
      <c r="H6" s="353" t="s">
        <v>29</v>
      </c>
      <c r="I6" s="354"/>
    </row>
    <row r="7" spans="1:247" ht="20.100000000000001" customHeight="1">
      <c r="A7" s="355"/>
      <c r="B7" s="356" t="s">
        <v>152</v>
      </c>
      <c r="C7" s="357"/>
      <c r="D7" s="356"/>
      <c r="E7" s="356"/>
      <c r="F7" s="357"/>
      <c r="G7" s="357"/>
      <c r="H7" s="358"/>
      <c r="I7" s="359"/>
    </row>
    <row r="8" spans="1:247">
      <c r="A8" s="360" t="s">
        <v>50</v>
      </c>
      <c r="B8" s="361">
        <v>2287</v>
      </c>
      <c r="C8" s="361">
        <v>317</v>
      </c>
      <c r="D8" s="361">
        <v>85</v>
      </c>
      <c r="E8" s="361">
        <v>65</v>
      </c>
      <c r="F8" s="361">
        <v>45</v>
      </c>
      <c r="G8" s="361">
        <v>29</v>
      </c>
      <c r="H8" s="361">
        <v>12</v>
      </c>
      <c r="I8" s="362">
        <v>2984</v>
      </c>
    </row>
    <row r="9" spans="1:247" hidden="1">
      <c r="A9" s="360" t="s">
        <v>153</v>
      </c>
      <c r="B9" s="361">
        <v>2139</v>
      </c>
      <c r="C9" s="361">
        <v>305</v>
      </c>
      <c r="D9" s="361">
        <v>77</v>
      </c>
      <c r="E9" s="361">
        <v>68</v>
      </c>
      <c r="F9" s="361">
        <v>48</v>
      </c>
      <c r="G9" s="361">
        <v>27</v>
      </c>
      <c r="H9" s="361">
        <v>12</v>
      </c>
      <c r="I9" s="362">
        <v>2815</v>
      </c>
    </row>
    <row r="10" spans="1:247" hidden="1">
      <c r="A10" s="360" t="s">
        <v>154</v>
      </c>
      <c r="B10" s="361">
        <v>1919</v>
      </c>
      <c r="C10" s="361">
        <v>323</v>
      </c>
      <c r="D10" s="361">
        <v>81</v>
      </c>
      <c r="E10" s="361">
        <v>61</v>
      </c>
      <c r="F10" s="361">
        <v>53</v>
      </c>
      <c r="G10" s="361">
        <v>29</v>
      </c>
      <c r="H10" s="361">
        <v>13</v>
      </c>
      <c r="I10" s="362">
        <v>2610</v>
      </c>
    </row>
    <row r="11" spans="1:247" hidden="1">
      <c r="A11" s="360" t="s">
        <v>155</v>
      </c>
      <c r="B11" s="361">
        <v>1733</v>
      </c>
      <c r="C11" s="361">
        <v>295</v>
      </c>
      <c r="D11" s="361">
        <v>68</v>
      </c>
      <c r="E11" s="361">
        <v>71</v>
      </c>
      <c r="F11" s="361">
        <v>55</v>
      </c>
      <c r="G11" s="361">
        <v>24</v>
      </c>
      <c r="H11" s="361">
        <v>14</v>
      </c>
      <c r="I11" s="362">
        <v>2344</v>
      </c>
    </row>
    <row r="12" spans="1:247" hidden="1">
      <c r="A12" s="360" t="s">
        <v>156</v>
      </c>
      <c r="B12" s="361">
        <v>1533</v>
      </c>
      <c r="C12" s="361">
        <v>288</v>
      </c>
      <c r="D12" s="361">
        <v>70</v>
      </c>
      <c r="E12" s="361">
        <v>64</v>
      </c>
      <c r="F12" s="361">
        <v>57</v>
      </c>
      <c r="G12" s="361">
        <v>25</v>
      </c>
      <c r="H12" s="361">
        <v>14</v>
      </c>
      <c r="I12" s="362">
        <v>2239</v>
      </c>
    </row>
    <row r="13" spans="1:247" hidden="1">
      <c r="A13" s="363"/>
      <c r="B13" s="364"/>
      <c r="C13" s="364"/>
      <c r="D13" s="364"/>
      <c r="E13" s="364"/>
      <c r="F13" s="364"/>
      <c r="G13" s="364"/>
      <c r="H13" s="364"/>
      <c r="I13" s="365"/>
    </row>
    <row r="14" spans="1:247" hidden="1">
      <c r="A14" s="360" t="s">
        <v>51</v>
      </c>
      <c r="B14" s="361">
        <v>1448</v>
      </c>
      <c r="C14" s="361">
        <v>272</v>
      </c>
      <c r="D14" s="361">
        <v>72</v>
      </c>
      <c r="E14" s="361">
        <v>63</v>
      </c>
      <c r="F14" s="361">
        <v>56</v>
      </c>
      <c r="G14" s="361">
        <v>27</v>
      </c>
      <c r="H14" s="361">
        <v>14</v>
      </c>
      <c r="I14" s="362">
        <v>2124</v>
      </c>
    </row>
    <row r="15" spans="1:247" hidden="1">
      <c r="A15" s="360" t="s">
        <v>52</v>
      </c>
      <c r="B15" s="361">
        <v>1341</v>
      </c>
      <c r="C15" s="361">
        <v>282</v>
      </c>
      <c r="D15" s="361">
        <v>65</v>
      </c>
      <c r="E15" s="361">
        <v>58</v>
      </c>
      <c r="F15" s="361">
        <v>65</v>
      </c>
      <c r="G15" s="361">
        <v>25</v>
      </c>
      <c r="H15" s="361">
        <v>13</v>
      </c>
      <c r="I15" s="362">
        <v>2028</v>
      </c>
    </row>
    <row r="16" spans="1:247">
      <c r="A16" s="360" t="s">
        <v>53</v>
      </c>
      <c r="B16" s="361">
        <v>1322</v>
      </c>
      <c r="C16" s="361">
        <v>287</v>
      </c>
      <c r="D16" s="361">
        <v>58</v>
      </c>
      <c r="E16" s="361">
        <v>63</v>
      </c>
      <c r="F16" s="361">
        <v>60</v>
      </c>
      <c r="G16" s="361">
        <v>25</v>
      </c>
      <c r="H16" s="361">
        <v>12</v>
      </c>
      <c r="I16" s="362">
        <v>2009</v>
      </c>
    </row>
    <row r="17" spans="1:9">
      <c r="A17" s="363"/>
      <c r="B17" s="366"/>
      <c r="C17" s="366"/>
      <c r="D17" s="366"/>
      <c r="E17" s="366"/>
      <c r="F17" s="366"/>
      <c r="G17" s="366"/>
      <c r="H17" s="366"/>
      <c r="I17" s="367"/>
    </row>
    <row r="18" spans="1:9" ht="14.25">
      <c r="A18" s="360" t="s">
        <v>157</v>
      </c>
      <c r="B18" s="368">
        <v>228</v>
      </c>
      <c r="C18" s="368">
        <v>287</v>
      </c>
      <c r="D18" s="368">
        <v>58</v>
      </c>
      <c r="E18" s="368">
        <v>63</v>
      </c>
      <c r="F18" s="368">
        <v>60</v>
      </c>
      <c r="G18" s="368">
        <v>25</v>
      </c>
      <c r="H18" s="368">
        <v>12</v>
      </c>
      <c r="I18" s="369">
        <v>733</v>
      </c>
    </row>
    <row r="19" spans="1:9" hidden="1">
      <c r="A19" s="360" t="s">
        <v>54</v>
      </c>
      <c r="B19" s="368">
        <v>212</v>
      </c>
      <c r="C19" s="368">
        <v>277</v>
      </c>
      <c r="D19" s="368">
        <v>52</v>
      </c>
      <c r="E19" s="368">
        <v>63</v>
      </c>
      <c r="F19" s="368">
        <v>55</v>
      </c>
      <c r="G19" s="368">
        <v>26</v>
      </c>
      <c r="H19" s="368">
        <v>14</v>
      </c>
      <c r="I19" s="369">
        <v>699</v>
      </c>
    </row>
    <row r="20" spans="1:9" hidden="1">
      <c r="A20" s="360" t="s">
        <v>55</v>
      </c>
      <c r="B20" s="368">
        <v>206</v>
      </c>
      <c r="C20" s="368">
        <v>269</v>
      </c>
      <c r="D20" s="368">
        <v>54</v>
      </c>
      <c r="E20" s="368">
        <v>64</v>
      </c>
      <c r="F20" s="368">
        <v>50</v>
      </c>
      <c r="G20" s="368">
        <v>26</v>
      </c>
      <c r="H20" s="368">
        <v>14</v>
      </c>
      <c r="I20" s="369">
        <v>683</v>
      </c>
    </row>
    <row r="21" spans="1:9">
      <c r="A21" s="363"/>
      <c r="B21" s="366"/>
      <c r="C21" s="366"/>
      <c r="D21" s="366"/>
      <c r="E21" s="366"/>
      <c r="F21" s="366"/>
      <c r="G21" s="366"/>
      <c r="H21" s="366"/>
      <c r="I21" s="367"/>
    </row>
    <row r="22" spans="1:9">
      <c r="A22" s="360" t="s">
        <v>56</v>
      </c>
      <c r="B22" s="368">
        <v>198</v>
      </c>
      <c r="C22" s="368">
        <v>250</v>
      </c>
      <c r="D22" s="368">
        <v>57</v>
      </c>
      <c r="E22" s="368">
        <v>61</v>
      </c>
      <c r="F22" s="368">
        <v>53</v>
      </c>
      <c r="G22" s="368">
        <v>24</v>
      </c>
      <c r="H22" s="368">
        <v>16</v>
      </c>
      <c r="I22" s="369">
        <v>659</v>
      </c>
    </row>
    <row r="23" spans="1:9" hidden="1">
      <c r="A23" s="360" t="s">
        <v>57</v>
      </c>
      <c r="B23" s="368">
        <v>191</v>
      </c>
      <c r="C23" s="368">
        <v>231</v>
      </c>
      <c r="D23" s="368">
        <v>61</v>
      </c>
      <c r="E23" s="368">
        <v>58</v>
      </c>
      <c r="F23" s="368">
        <v>49</v>
      </c>
      <c r="G23" s="368">
        <v>28</v>
      </c>
      <c r="H23" s="368">
        <v>14</v>
      </c>
      <c r="I23" s="369">
        <v>632</v>
      </c>
    </row>
    <row r="24" spans="1:9" hidden="1">
      <c r="A24" s="360" t="s">
        <v>58</v>
      </c>
      <c r="B24" s="368">
        <v>168</v>
      </c>
      <c r="C24" s="368">
        <v>242</v>
      </c>
      <c r="D24" s="368">
        <v>59</v>
      </c>
      <c r="E24" s="368">
        <v>53</v>
      </c>
      <c r="F24" s="368">
        <v>56</v>
      </c>
      <c r="G24" s="368">
        <v>21</v>
      </c>
      <c r="H24" s="368">
        <v>17</v>
      </c>
      <c r="I24" s="369">
        <v>616</v>
      </c>
    </row>
    <row r="25" spans="1:9" hidden="1">
      <c r="A25" s="360" t="s">
        <v>59</v>
      </c>
      <c r="B25" s="368">
        <v>172</v>
      </c>
      <c r="C25" s="368">
        <v>225</v>
      </c>
      <c r="D25" s="368">
        <v>55</v>
      </c>
      <c r="E25" s="368">
        <v>56</v>
      </c>
      <c r="F25" s="368">
        <v>49</v>
      </c>
      <c r="G25" s="368">
        <v>22</v>
      </c>
      <c r="H25" s="368">
        <v>17</v>
      </c>
      <c r="I25" s="369">
        <v>596</v>
      </c>
    </row>
    <row r="26" spans="1:9" hidden="1">
      <c r="A26" s="360" t="s">
        <v>60</v>
      </c>
      <c r="B26" s="368">
        <v>172</v>
      </c>
      <c r="C26" s="368">
        <v>214</v>
      </c>
      <c r="D26" s="368">
        <v>59</v>
      </c>
      <c r="E26" s="368">
        <v>51</v>
      </c>
      <c r="F26" s="368">
        <v>49</v>
      </c>
      <c r="G26" s="368">
        <v>23</v>
      </c>
      <c r="H26" s="368">
        <v>17</v>
      </c>
      <c r="I26" s="369">
        <v>585</v>
      </c>
    </row>
    <row r="27" spans="1:9">
      <c r="A27" s="360" t="s">
        <v>158</v>
      </c>
      <c r="B27" s="368">
        <v>156</v>
      </c>
      <c r="C27" s="368">
        <v>213</v>
      </c>
      <c r="D27" s="368">
        <v>47</v>
      </c>
      <c r="E27" s="368">
        <v>45</v>
      </c>
      <c r="F27" s="368">
        <v>54</v>
      </c>
      <c r="G27" s="368">
        <v>27</v>
      </c>
      <c r="H27" s="368">
        <v>18</v>
      </c>
      <c r="I27" s="369">
        <f>SUM(B27:H27)</f>
        <v>560</v>
      </c>
    </row>
    <row r="28" spans="1:9" ht="20.100000000000001" customHeight="1">
      <c r="A28" s="360"/>
      <c r="B28" s="370" t="s">
        <v>159</v>
      </c>
      <c r="C28" s="370"/>
      <c r="D28" s="370"/>
      <c r="E28" s="370"/>
      <c r="F28" s="371"/>
      <c r="G28" s="371"/>
      <c r="H28" s="371"/>
      <c r="I28" s="372"/>
    </row>
    <row r="29" spans="1:9">
      <c r="A29" s="360" t="s">
        <v>50</v>
      </c>
      <c r="B29" s="368">
        <v>163</v>
      </c>
      <c r="C29" s="368">
        <v>172</v>
      </c>
      <c r="D29" s="368">
        <v>49</v>
      </c>
      <c r="E29" s="368">
        <v>42</v>
      </c>
      <c r="F29" s="368">
        <v>35</v>
      </c>
      <c r="G29" s="368">
        <v>17</v>
      </c>
      <c r="H29" s="373" t="s">
        <v>181</v>
      </c>
      <c r="I29" s="369">
        <f>SUM(B29:H29)</f>
        <v>478</v>
      </c>
    </row>
    <row r="30" spans="1:9" hidden="1">
      <c r="A30" s="360" t="s">
        <v>153</v>
      </c>
      <c r="B30" s="368">
        <v>161</v>
      </c>
      <c r="C30" s="368">
        <v>162</v>
      </c>
      <c r="D30" s="368">
        <v>47</v>
      </c>
      <c r="E30" s="368">
        <v>42</v>
      </c>
      <c r="F30" s="368">
        <v>35</v>
      </c>
      <c r="G30" s="368">
        <v>17</v>
      </c>
      <c r="H30" s="373" t="s">
        <v>181</v>
      </c>
      <c r="I30" s="369">
        <f>SUM(B30:H30)</f>
        <v>464</v>
      </c>
    </row>
    <row r="31" spans="1:9" hidden="1">
      <c r="A31" s="360" t="s">
        <v>154</v>
      </c>
      <c r="B31" s="368">
        <v>154</v>
      </c>
      <c r="C31" s="368">
        <v>156</v>
      </c>
      <c r="D31" s="368">
        <v>46</v>
      </c>
      <c r="E31" s="368">
        <v>42</v>
      </c>
      <c r="F31" s="368">
        <v>35</v>
      </c>
      <c r="G31" s="368">
        <v>17</v>
      </c>
      <c r="H31" s="373" t="s">
        <v>181</v>
      </c>
      <c r="I31" s="369">
        <f>SUM(B31:H31)</f>
        <v>450</v>
      </c>
    </row>
    <row r="32" spans="1:9" hidden="1">
      <c r="A32" s="360" t="s">
        <v>155</v>
      </c>
      <c r="B32" s="368">
        <v>155</v>
      </c>
      <c r="C32" s="368">
        <v>156</v>
      </c>
      <c r="D32" s="368">
        <v>43</v>
      </c>
      <c r="E32" s="368">
        <v>42</v>
      </c>
      <c r="F32" s="368">
        <v>35</v>
      </c>
      <c r="G32" s="368">
        <v>17</v>
      </c>
      <c r="H32" s="373" t="s">
        <v>181</v>
      </c>
      <c r="I32" s="369">
        <f>SUM(B32:H32)</f>
        <v>448</v>
      </c>
    </row>
    <row r="33" spans="1:9" hidden="1">
      <c r="A33" s="360" t="s">
        <v>156</v>
      </c>
      <c r="B33" s="368">
        <v>155</v>
      </c>
      <c r="C33" s="368">
        <v>155</v>
      </c>
      <c r="D33" s="368">
        <v>41</v>
      </c>
      <c r="E33" s="368">
        <v>42</v>
      </c>
      <c r="F33" s="368">
        <v>35</v>
      </c>
      <c r="G33" s="368">
        <v>18</v>
      </c>
      <c r="H33" s="373" t="s">
        <v>181</v>
      </c>
      <c r="I33" s="369">
        <f>SUM(B33:H33)</f>
        <v>446</v>
      </c>
    </row>
    <row r="34" spans="1:9" hidden="1">
      <c r="A34" s="363"/>
      <c r="B34" s="366"/>
      <c r="C34" s="366"/>
      <c r="D34" s="366"/>
      <c r="E34" s="366"/>
      <c r="F34" s="366"/>
      <c r="G34" s="366"/>
      <c r="H34" s="374"/>
      <c r="I34" s="367"/>
    </row>
    <row r="35" spans="1:9" hidden="1">
      <c r="A35" s="360" t="s">
        <v>51</v>
      </c>
      <c r="B35" s="368">
        <v>143</v>
      </c>
      <c r="C35" s="368">
        <v>155</v>
      </c>
      <c r="D35" s="368">
        <v>40</v>
      </c>
      <c r="E35" s="368">
        <v>45</v>
      </c>
      <c r="F35" s="368">
        <v>35</v>
      </c>
      <c r="G35" s="368">
        <v>18</v>
      </c>
      <c r="H35" s="373" t="s">
        <v>181</v>
      </c>
      <c r="I35" s="369">
        <f>SUM(B35:H35)</f>
        <v>436</v>
      </c>
    </row>
    <row r="36" spans="1:9" hidden="1">
      <c r="A36" s="360" t="s">
        <v>52</v>
      </c>
      <c r="B36" s="368">
        <v>133</v>
      </c>
      <c r="C36" s="368">
        <v>154</v>
      </c>
      <c r="D36" s="368">
        <v>39</v>
      </c>
      <c r="E36" s="368">
        <v>48</v>
      </c>
      <c r="F36" s="368">
        <v>35</v>
      </c>
      <c r="G36" s="368">
        <v>18</v>
      </c>
      <c r="H36" s="373" t="s">
        <v>181</v>
      </c>
      <c r="I36" s="369">
        <f>SUM(B36:H36)</f>
        <v>427</v>
      </c>
    </row>
    <row r="37" spans="1:9">
      <c r="A37" s="360" t="s">
        <v>53</v>
      </c>
      <c r="B37" s="368">
        <v>120</v>
      </c>
      <c r="C37" s="368">
        <v>153</v>
      </c>
      <c r="D37" s="368">
        <v>38</v>
      </c>
      <c r="E37" s="368">
        <v>52</v>
      </c>
      <c r="F37" s="368">
        <v>35</v>
      </c>
      <c r="G37" s="368">
        <v>19</v>
      </c>
      <c r="H37" s="375" t="s">
        <v>182</v>
      </c>
      <c r="I37" s="369">
        <f>SUM(B37:H37)</f>
        <v>417</v>
      </c>
    </row>
    <row r="38" spans="1:9">
      <c r="A38" s="360" t="s">
        <v>54</v>
      </c>
      <c r="B38" s="368">
        <v>119</v>
      </c>
      <c r="C38" s="368">
        <v>154</v>
      </c>
      <c r="D38" s="368">
        <v>35</v>
      </c>
      <c r="E38" s="368">
        <v>52</v>
      </c>
      <c r="F38" s="368">
        <v>36</v>
      </c>
      <c r="G38" s="368">
        <v>19</v>
      </c>
      <c r="H38" s="375" t="s">
        <v>182</v>
      </c>
      <c r="I38" s="369">
        <f>SUM(B38:H38)</f>
        <v>415</v>
      </c>
    </row>
    <row r="39" spans="1:9" hidden="1">
      <c r="A39" s="360" t="s">
        <v>55</v>
      </c>
      <c r="B39" s="368">
        <v>118</v>
      </c>
      <c r="C39" s="368">
        <v>154</v>
      </c>
      <c r="D39" s="368">
        <v>33</v>
      </c>
      <c r="E39" s="368">
        <v>52</v>
      </c>
      <c r="F39" s="368">
        <v>36</v>
      </c>
      <c r="G39" s="368">
        <v>20</v>
      </c>
      <c r="H39" s="375" t="s">
        <v>182</v>
      </c>
      <c r="I39" s="369">
        <f>SUM(B39:H39)</f>
        <v>413</v>
      </c>
    </row>
    <row r="40" spans="1:9">
      <c r="A40" s="363"/>
      <c r="B40" s="366"/>
      <c r="C40" s="366"/>
      <c r="D40" s="366"/>
      <c r="E40" s="366"/>
      <c r="F40" s="366"/>
      <c r="G40" s="366"/>
      <c r="H40" s="374"/>
      <c r="I40" s="367"/>
    </row>
    <row r="41" spans="1:9">
      <c r="A41" s="360" t="s">
        <v>56</v>
      </c>
      <c r="B41" s="368">
        <v>111</v>
      </c>
      <c r="C41" s="368">
        <v>154</v>
      </c>
      <c r="D41" s="368">
        <v>32</v>
      </c>
      <c r="E41" s="368">
        <v>50</v>
      </c>
      <c r="F41" s="368">
        <v>36</v>
      </c>
      <c r="G41" s="368">
        <v>20</v>
      </c>
      <c r="H41" s="375" t="s">
        <v>182</v>
      </c>
      <c r="I41" s="369">
        <f>SUM(B41:H41)</f>
        <v>403</v>
      </c>
    </row>
    <row r="42" spans="1:9" hidden="1">
      <c r="A42" s="360" t="s">
        <v>57</v>
      </c>
      <c r="B42" s="368">
        <v>103</v>
      </c>
      <c r="C42" s="368">
        <v>151</v>
      </c>
      <c r="D42" s="368">
        <v>32</v>
      </c>
      <c r="E42" s="368">
        <v>48</v>
      </c>
      <c r="F42" s="368">
        <v>37</v>
      </c>
      <c r="G42" s="368">
        <v>20</v>
      </c>
      <c r="H42" s="375" t="s">
        <v>182</v>
      </c>
      <c r="I42" s="369">
        <f>SUM(B42:H42)</f>
        <v>391</v>
      </c>
    </row>
    <row r="43" spans="1:9" hidden="1">
      <c r="A43" s="360" t="s">
        <v>58</v>
      </c>
      <c r="B43" s="368">
        <v>95</v>
      </c>
      <c r="C43" s="368">
        <v>150</v>
      </c>
      <c r="D43" s="368">
        <v>32</v>
      </c>
      <c r="E43" s="368">
        <v>47</v>
      </c>
      <c r="F43" s="368">
        <v>37</v>
      </c>
      <c r="G43" s="368">
        <v>21</v>
      </c>
      <c r="H43" s="375" t="s">
        <v>182</v>
      </c>
      <c r="I43" s="369">
        <f>SUM(B43:H43)</f>
        <v>382</v>
      </c>
    </row>
    <row r="44" spans="1:9" hidden="1">
      <c r="A44" s="360" t="s">
        <v>59</v>
      </c>
      <c r="B44" s="368">
        <v>92</v>
      </c>
      <c r="C44" s="368">
        <v>149</v>
      </c>
      <c r="D44" s="368">
        <v>32</v>
      </c>
      <c r="E44" s="368">
        <v>47</v>
      </c>
      <c r="F44" s="368">
        <v>37</v>
      </c>
      <c r="G44" s="368">
        <v>21</v>
      </c>
      <c r="H44" s="375" t="s">
        <v>182</v>
      </c>
      <c r="I44" s="369">
        <f>SUM(B44:H44)</f>
        <v>378</v>
      </c>
    </row>
    <row r="45" spans="1:9" hidden="1">
      <c r="A45" s="360" t="s">
        <v>60</v>
      </c>
      <c r="B45" s="376" t="s">
        <v>183</v>
      </c>
      <c r="C45" s="376" t="s">
        <v>183</v>
      </c>
      <c r="D45" s="376" t="s">
        <v>183</v>
      </c>
      <c r="E45" s="376" t="s">
        <v>183</v>
      </c>
      <c r="F45" s="376" t="s">
        <v>183</v>
      </c>
      <c r="G45" s="376" t="s">
        <v>183</v>
      </c>
      <c r="H45" s="376" t="s">
        <v>183</v>
      </c>
      <c r="I45" s="369">
        <v>166</v>
      </c>
    </row>
    <row r="46" spans="1:9">
      <c r="A46" s="360" t="s">
        <v>61</v>
      </c>
      <c r="B46" s="368">
        <v>24</v>
      </c>
      <c r="C46" s="368">
        <v>34</v>
      </c>
      <c r="D46" s="368">
        <v>24</v>
      </c>
      <c r="E46" s="368">
        <v>20</v>
      </c>
      <c r="F46" s="368">
        <v>12</v>
      </c>
      <c r="G46" s="368">
        <v>12</v>
      </c>
      <c r="H46" s="373" t="s">
        <v>181</v>
      </c>
      <c r="I46" s="369">
        <f>SUM(B46:H46)</f>
        <v>126</v>
      </c>
    </row>
    <row r="47" spans="1:9" ht="20.100000000000001" customHeight="1">
      <c r="A47" s="360"/>
      <c r="B47" s="370" t="s">
        <v>30</v>
      </c>
      <c r="C47" s="370"/>
      <c r="D47" s="370"/>
      <c r="E47" s="370"/>
      <c r="F47" s="370"/>
      <c r="G47" s="370"/>
      <c r="H47" s="370"/>
      <c r="I47" s="377"/>
    </row>
    <row r="48" spans="1:9" hidden="1">
      <c r="A48" s="360" t="s">
        <v>61</v>
      </c>
      <c r="B48" s="373">
        <v>180</v>
      </c>
      <c r="C48" s="373">
        <v>247</v>
      </c>
      <c r="D48" s="373">
        <v>71</v>
      </c>
      <c r="E48" s="373">
        <v>65</v>
      </c>
      <c r="F48" s="373">
        <v>66</v>
      </c>
      <c r="G48" s="373">
        <v>39</v>
      </c>
      <c r="H48" s="373">
        <v>18</v>
      </c>
      <c r="I48" s="378">
        <v>686</v>
      </c>
    </row>
    <row r="49" spans="1:9" hidden="1">
      <c r="A49" s="360" t="s">
        <v>63</v>
      </c>
      <c r="B49" s="373">
        <v>163</v>
      </c>
      <c r="C49" s="373">
        <v>240</v>
      </c>
      <c r="D49" s="373">
        <v>61</v>
      </c>
      <c r="E49" s="373">
        <v>59</v>
      </c>
      <c r="F49" s="373">
        <v>61</v>
      </c>
      <c r="G49" s="373">
        <v>46</v>
      </c>
      <c r="H49" s="379">
        <v>18</v>
      </c>
      <c r="I49" s="378">
        <v>648</v>
      </c>
    </row>
    <row r="50" spans="1:9" hidden="1">
      <c r="A50" s="380" t="s">
        <v>64</v>
      </c>
      <c r="B50" s="381">
        <v>161</v>
      </c>
      <c r="C50" s="381">
        <v>230</v>
      </c>
      <c r="D50" s="381">
        <v>69</v>
      </c>
      <c r="E50" s="381">
        <v>56</v>
      </c>
      <c r="F50" s="381">
        <v>55</v>
      </c>
      <c r="G50" s="381">
        <v>40</v>
      </c>
      <c r="H50" s="381">
        <v>19</v>
      </c>
      <c r="I50" s="382">
        <f>SUM(B50:H50)</f>
        <v>630</v>
      </c>
    </row>
    <row r="51" spans="1:9" hidden="1">
      <c r="A51" s="383" t="s">
        <v>65</v>
      </c>
      <c r="B51" s="381">
        <v>164</v>
      </c>
      <c r="C51" s="381">
        <v>212</v>
      </c>
      <c r="D51" s="381">
        <v>70</v>
      </c>
      <c r="E51" s="381">
        <v>56</v>
      </c>
      <c r="F51" s="381">
        <v>51</v>
      </c>
      <c r="G51" s="381">
        <v>39</v>
      </c>
      <c r="H51" s="381">
        <v>21</v>
      </c>
      <c r="I51" s="382">
        <f>SUM(B51:H51)</f>
        <v>613</v>
      </c>
    </row>
    <row r="52" spans="1:9" ht="12.75" hidden="1" customHeight="1">
      <c r="A52" s="383" t="s">
        <v>66</v>
      </c>
      <c r="B52" s="381">
        <v>128</v>
      </c>
      <c r="C52" s="381">
        <v>205</v>
      </c>
      <c r="D52" s="381">
        <v>60</v>
      </c>
      <c r="E52" s="381">
        <v>54</v>
      </c>
      <c r="F52" s="381">
        <v>47</v>
      </c>
      <c r="G52" s="381">
        <v>42</v>
      </c>
      <c r="H52" s="381">
        <v>22</v>
      </c>
      <c r="I52" s="382">
        <f>SUM(B52:H52)</f>
        <v>558</v>
      </c>
    </row>
    <row r="53" spans="1:9" ht="12.75" customHeight="1">
      <c r="A53" s="383" t="s">
        <v>67</v>
      </c>
      <c r="B53" s="381">
        <v>130</v>
      </c>
      <c r="C53" s="381">
        <v>185</v>
      </c>
      <c r="D53" s="381">
        <v>68</v>
      </c>
      <c r="E53" s="381">
        <v>48</v>
      </c>
      <c r="F53" s="381">
        <v>49</v>
      </c>
      <c r="G53" s="381">
        <v>35</v>
      </c>
      <c r="H53" s="381">
        <v>24</v>
      </c>
      <c r="I53" s="382">
        <v>539</v>
      </c>
    </row>
    <row r="54" spans="1:9" ht="12.75" hidden="1" customHeight="1">
      <c r="A54" s="384" t="s">
        <v>68</v>
      </c>
      <c r="B54" s="381">
        <v>126</v>
      </c>
      <c r="C54" s="381">
        <v>185</v>
      </c>
      <c r="D54" s="381">
        <v>67</v>
      </c>
      <c r="E54" s="381">
        <v>47</v>
      </c>
      <c r="F54" s="381">
        <v>46</v>
      </c>
      <c r="G54" s="381">
        <v>38</v>
      </c>
      <c r="H54" s="381">
        <v>25</v>
      </c>
      <c r="I54" s="382">
        <f>SUM(B54:H54)</f>
        <v>534</v>
      </c>
    </row>
    <row r="55" spans="1:9" ht="12.75" hidden="1" customHeight="1">
      <c r="A55" s="384" t="s">
        <v>69</v>
      </c>
      <c r="B55" s="381">
        <v>125</v>
      </c>
      <c r="C55" s="381">
        <v>177</v>
      </c>
      <c r="D55" s="381">
        <v>63</v>
      </c>
      <c r="E55" s="381">
        <v>43</v>
      </c>
      <c r="F55" s="381">
        <v>42</v>
      </c>
      <c r="G55" s="381">
        <v>41</v>
      </c>
      <c r="H55" s="381">
        <v>24</v>
      </c>
      <c r="I55" s="382">
        <v>515</v>
      </c>
    </row>
    <row r="56" spans="1:9" s="385" customFormat="1" ht="12.75" hidden="1" customHeight="1">
      <c r="A56" s="384" t="s">
        <v>70</v>
      </c>
      <c r="B56" s="381">
        <v>112</v>
      </c>
      <c r="C56" s="381">
        <v>172</v>
      </c>
      <c r="D56" s="381">
        <v>56</v>
      </c>
      <c r="E56" s="381">
        <v>45</v>
      </c>
      <c r="F56" s="381">
        <v>41</v>
      </c>
      <c r="G56" s="381">
        <v>36</v>
      </c>
      <c r="H56" s="381">
        <v>26</v>
      </c>
      <c r="I56" s="382">
        <f>SUM(B56:H56)</f>
        <v>488</v>
      </c>
    </row>
    <row r="57" spans="1:9" s="385" customFormat="1" ht="12.75" customHeight="1">
      <c r="A57" s="384" t="s">
        <v>71</v>
      </c>
      <c r="B57" s="381">
        <v>102</v>
      </c>
      <c r="C57" s="381">
        <v>162</v>
      </c>
      <c r="D57" s="381">
        <v>56</v>
      </c>
      <c r="E57" s="381">
        <v>41</v>
      </c>
      <c r="F57" s="381">
        <v>40</v>
      </c>
      <c r="G57" s="381">
        <v>38</v>
      </c>
      <c r="H57" s="381">
        <v>26</v>
      </c>
      <c r="I57" s="382">
        <f>SUM(B57:H57)</f>
        <v>465</v>
      </c>
    </row>
    <row r="58" spans="1:9" s="385" customFormat="1" ht="14.1" customHeight="1">
      <c r="A58" s="386" t="s">
        <v>187</v>
      </c>
      <c r="B58" s="387" t="s">
        <v>188</v>
      </c>
      <c r="C58" s="388"/>
      <c r="D58" s="389">
        <f>B64</f>
        <v>224</v>
      </c>
      <c r="E58" s="381">
        <f>C64</f>
        <v>37</v>
      </c>
      <c r="F58" s="381">
        <f>D64</f>
        <v>36</v>
      </c>
      <c r="G58" s="381">
        <f>SUM(E64:F64)</f>
        <v>41</v>
      </c>
      <c r="H58" s="381">
        <f>SUM(G64:H64)</f>
        <v>23</v>
      </c>
      <c r="I58" s="382">
        <f>SUM(B58:H58)</f>
        <v>361</v>
      </c>
    </row>
    <row r="59" spans="1:9" s="349" customFormat="1">
      <c r="A59" s="345"/>
      <c r="B59" s="346">
        <v>500</v>
      </c>
      <c r="C59" s="347" t="s">
        <v>17</v>
      </c>
      <c r="D59" s="347" t="s">
        <v>176</v>
      </c>
      <c r="E59" s="347" t="s">
        <v>18</v>
      </c>
      <c r="F59" s="347" t="s">
        <v>19</v>
      </c>
      <c r="G59" s="347" t="s">
        <v>190</v>
      </c>
      <c r="H59" s="346"/>
      <c r="I59" s="348"/>
    </row>
    <row r="60" spans="1:9" s="349" customFormat="1" ht="14.25">
      <c r="A60" s="350" t="s">
        <v>192</v>
      </c>
      <c r="B60" s="351" t="s">
        <v>22</v>
      </c>
      <c r="C60" s="351" t="s">
        <v>22</v>
      </c>
      <c r="D60" s="351" t="s">
        <v>22</v>
      </c>
      <c r="E60" s="351" t="s">
        <v>22</v>
      </c>
      <c r="F60" s="351" t="s">
        <v>22</v>
      </c>
      <c r="G60" s="351" t="s">
        <v>22</v>
      </c>
      <c r="H60" s="351" t="s">
        <v>193</v>
      </c>
      <c r="I60" s="350" t="s">
        <v>177</v>
      </c>
    </row>
    <row r="61" spans="1:9" s="349" customFormat="1">
      <c r="A61" s="352"/>
      <c r="B61" s="353" t="s">
        <v>26</v>
      </c>
      <c r="C61" s="353" t="s">
        <v>176</v>
      </c>
      <c r="D61" s="353" t="s">
        <v>18</v>
      </c>
      <c r="E61" s="353" t="s">
        <v>19</v>
      </c>
      <c r="F61" s="353" t="s">
        <v>23</v>
      </c>
      <c r="G61" s="353" t="s">
        <v>195</v>
      </c>
      <c r="H61" s="353" t="s">
        <v>29</v>
      </c>
      <c r="I61" s="354"/>
    </row>
    <row r="62" spans="1:9" ht="20.100000000000001" customHeight="1">
      <c r="A62" s="360"/>
      <c r="B62" s="370" t="s">
        <v>30</v>
      </c>
      <c r="C62" s="370"/>
      <c r="D62" s="370"/>
      <c r="E62" s="370"/>
      <c r="F62" s="370"/>
      <c r="G62" s="370"/>
      <c r="H62" s="370"/>
      <c r="I62" s="377"/>
    </row>
    <row r="63" spans="1:9" ht="12.75" customHeight="1">
      <c r="A63" s="390" t="s">
        <v>71</v>
      </c>
      <c r="B63" s="391">
        <f>SUM(C57:D57)</f>
        <v>218</v>
      </c>
      <c r="C63" s="391">
        <f>E57</f>
        <v>41</v>
      </c>
      <c r="D63" s="391">
        <f>F57</f>
        <v>40</v>
      </c>
      <c r="E63" s="392">
        <f>G57</f>
        <v>38</v>
      </c>
      <c r="F63" s="371"/>
      <c r="G63" s="392">
        <f>H57</f>
        <v>26</v>
      </c>
      <c r="H63" s="371"/>
      <c r="I63" s="382">
        <f>SUM(B63:H63)</f>
        <v>363</v>
      </c>
    </row>
    <row r="64" spans="1:9" ht="14.1" customHeight="1">
      <c r="A64" s="386" t="s">
        <v>168</v>
      </c>
      <c r="B64" s="381">
        <v>224</v>
      </c>
      <c r="C64" s="381">
        <v>37</v>
      </c>
      <c r="D64" s="381">
        <v>36</v>
      </c>
      <c r="E64" s="381">
        <v>29</v>
      </c>
      <c r="F64" s="381">
        <v>12</v>
      </c>
      <c r="G64" s="381">
        <v>18</v>
      </c>
      <c r="H64" s="381">
        <v>5</v>
      </c>
      <c r="I64" s="382">
        <f>SUM(B64:H64)</f>
        <v>361</v>
      </c>
    </row>
    <row r="65" spans="1:9" ht="14.1" hidden="1" customHeight="1">
      <c r="A65" s="386" t="s">
        <v>72</v>
      </c>
      <c r="B65" s="381">
        <v>209</v>
      </c>
      <c r="C65" s="381">
        <v>37</v>
      </c>
      <c r="D65" s="381">
        <v>38</v>
      </c>
      <c r="E65" s="381">
        <v>23</v>
      </c>
      <c r="F65" s="381">
        <v>15</v>
      </c>
      <c r="G65" s="381">
        <v>17</v>
      </c>
      <c r="H65" s="381">
        <v>6</v>
      </c>
      <c r="I65" s="393">
        <v>345</v>
      </c>
    </row>
    <row r="66" spans="1:9" ht="14.1" hidden="1" customHeight="1">
      <c r="A66" s="386" t="s">
        <v>73</v>
      </c>
      <c r="B66" s="381">
        <v>212</v>
      </c>
      <c r="C66" s="381">
        <v>36</v>
      </c>
      <c r="D66" s="381">
        <v>34</v>
      </c>
      <c r="E66" s="381">
        <v>25</v>
      </c>
      <c r="F66" s="381">
        <v>17</v>
      </c>
      <c r="G66" s="381">
        <v>17</v>
      </c>
      <c r="H66" s="381">
        <v>6</v>
      </c>
      <c r="I66" s="382">
        <v>347</v>
      </c>
    </row>
    <row r="67" spans="1:9" ht="14.1" customHeight="1">
      <c r="A67" s="386" t="s">
        <v>74</v>
      </c>
      <c r="B67" s="381">
        <v>204</v>
      </c>
      <c r="C67" s="381">
        <v>37</v>
      </c>
      <c r="D67" s="381">
        <v>34</v>
      </c>
      <c r="E67" s="381">
        <v>22</v>
      </c>
      <c r="F67" s="381">
        <v>15</v>
      </c>
      <c r="G67" s="381">
        <v>17</v>
      </c>
      <c r="H67" s="381">
        <v>7</v>
      </c>
      <c r="I67" s="382">
        <f t="shared" ref="I67:I76" si="0">SUM(B67:H67)</f>
        <v>336</v>
      </c>
    </row>
    <row r="68" spans="1:9" ht="14.1" customHeight="1">
      <c r="A68" s="386" t="s">
        <v>75</v>
      </c>
      <c r="B68" s="381">
        <v>204</v>
      </c>
      <c r="C68" s="381">
        <v>35</v>
      </c>
      <c r="D68" s="381">
        <v>33</v>
      </c>
      <c r="E68" s="381">
        <v>22</v>
      </c>
      <c r="F68" s="381">
        <v>14</v>
      </c>
      <c r="G68" s="381">
        <v>18</v>
      </c>
      <c r="H68" s="381">
        <v>7</v>
      </c>
      <c r="I68" s="382">
        <f t="shared" si="0"/>
        <v>333</v>
      </c>
    </row>
    <row r="69" spans="1:9" ht="14.1" customHeight="1">
      <c r="A69" s="386" t="s">
        <v>76</v>
      </c>
      <c r="B69" s="381">
        <v>195</v>
      </c>
      <c r="C69" s="381">
        <v>31</v>
      </c>
      <c r="D69" s="381">
        <v>31</v>
      </c>
      <c r="E69" s="381">
        <v>24</v>
      </c>
      <c r="F69" s="381">
        <v>12</v>
      </c>
      <c r="G69" s="381">
        <v>17</v>
      </c>
      <c r="H69" s="381">
        <v>8</v>
      </c>
      <c r="I69" s="382">
        <f t="shared" si="0"/>
        <v>318</v>
      </c>
    </row>
    <row r="70" spans="1:9" s="385" customFormat="1" ht="14.1" customHeight="1">
      <c r="A70" s="386" t="s">
        <v>77</v>
      </c>
      <c r="B70" s="381">
        <v>197</v>
      </c>
      <c r="C70" s="381">
        <v>26</v>
      </c>
      <c r="D70" s="381">
        <v>33</v>
      </c>
      <c r="E70" s="381">
        <v>23</v>
      </c>
      <c r="F70" s="381">
        <v>14</v>
      </c>
      <c r="G70" s="381">
        <v>16</v>
      </c>
      <c r="H70" s="381">
        <v>8</v>
      </c>
      <c r="I70" s="382">
        <f t="shared" si="0"/>
        <v>317</v>
      </c>
    </row>
    <row r="71" spans="1:9" s="385" customFormat="1" ht="14.1" customHeight="1">
      <c r="A71" s="386" t="s">
        <v>78</v>
      </c>
      <c r="B71" s="381">
        <v>185</v>
      </c>
      <c r="C71" s="381">
        <v>31</v>
      </c>
      <c r="D71" s="381">
        <v>30</v>
      </c>
      <c r="E71" s="381">
        <v>20</v>
      </c>
      <c r="F71" s="381">
        <v>16</v>
      </c>
      <c r="G71" s="381">
        <v>17</v>
      </c>
      <c r="H71" s="381">
        <v>9</v>
      </c>
      <c r="I71" s="382">
        <f t="shared" si="0"/>
        <v>308</v>
      </c>
    </row>
    <row r="72" spans="1:9" s="385" customFormat="1" ht="14.1" customHeight="1">
      <c r="A72" s="386" t="s">
        <v>79</v>
      </c>
      <c r="B72" s="381">
        <v>182</v>
      </c>
      <c r="C72" s="381">
        <v>29</v>
      </c>
      <c r="D72" s="381">
        <v>28</v>
      </c>
      <c r="E72" s="381">
        <v>21</v>
      </c>
      <c r="F72" s="381">
        <v>17</v>
      </c>
      <c r="G72" s="381">
        <v>15</v>
      </c>
      <c r="H72" s="394">
        <v>10</v>
      </c>
      <c r="I72" s="382">
        <f t="shared" si="0"/>
        <v>302</v>
      </c>
    </row>
    <row r="73" spans="1:9" s="398" customFormat="1" ht="14.1" customHeight="1">
      <c r="A73" s="395" t="s">
        <v>80</v>
      </c>
      <c r="B73" s="396">
        <v>159</v>
      </c>
      <c r="C73" s="396">
        <v>23</v>
      </c>
      <c r="D73" s="396">
        <v>26</v>
      </c>
      <c r="E73" s="396">
        <v>18</v>
      </c>
      <c r="F73" s="396">
        <v>18</v>
      </c>
      <c r="G73" s="396">
        <v>15</v>
      </c>
      <c r="H73" s="396">
        <v>12</v>
      </c>
      <c r="I73" s="397">
        <f t="shared" si="0"/>
        <v>271</v>
      </c>
    </row>
    <row r="74" spans="1:9" s="385" customFormat="1" ht="14.1" customHeight="1">
      <c r="A74" s="386" t="s">
        <v>81</v>
      </c>
      <c r="B74" s="396">
        <v>150</v>
      </c>
      <c r="C74" s="396">
        <v>25</v>
      </c>
      <c r="D74" s="396">
        <v>23</v>
      </c>
      <c r="E74" s="396">
        <v>20</v>
      </c>
      <c r="F74" s="396">
        <v>16</v>
      </c>
      <c r="G74" s="396">
        <v>16</v>
      </c>
      <c r="H74" s="396">
        <v>11</v>
      </c>
      <c r="I74" s="397">
        <f t="shared" si="0"/>
        <v>261</v>
      </c>
    </row>
    <row r="75" spans="1:9" s="385" customFormat="1" ht="14.1" customHeight="1">
      <c r="A75" s="386" t="s">
        <v>82</v>
      </c>
      <c r="B75" s="396">
        <v>140</v>
      </c>
      <c r="C75" s="396">
        <v>27</v>
      </c>
      <c r="D75" s="396">
        <v>25</v>
      </c>
      <c r="E75" s="396">
        <v>16</v>
      </c>
      <c r="F75" s="396">
        <v>18</v>
      </c>
      <c r="G75" s="396">
        <v>15</v>
      </c>
      <c r="H75" s="396">
        <v>11</v>
      </c>
      <c r="I75" s="397">
        <v>252</v>
      </c>
    </row>
    <row r="76" spans="1:9" s="385" customFormat="1" ht="14.1" customHeight="1">
      <c r="A76" s="399" t="s">
        <v>164</v>
      </c>
      <c r="B76" s="400">
        <v>105</v>
      </c>
      <c r="C76" s="400">
        <v>26</v>
      </c>
      <c r="D76" s="400">
        <v>24</v>
      </c>
      <c r="E76" s="400">
        <v>19</v>
      </c>
      <c r="F76" s="400">
        <v>16</v>
      </c>
      <c r="G76" s="400">
        <v>16</v>
      </c>
      <c r="H76" s="400">
        <v>12</v>
      </c>
      <c r="I76" s="401">
        <f t="shared" si="0"/>
        <v>218</v>
      </c>
    </row>
    <row r="77" spans="1:9" s="385" customFormat="1" ht="14.1" customHeight="1">
      <c r="A77" s="402"/>
      <c r="B77" s="381"/>
      <c r="C77" s="381"/>
      <c r="D77" s="381"/>
      <c r="E77" s="381"/>
      <c r="F77" s="381"/>
      <c r="G77" s="381"/>
      <c r="H77" s="381"/>
      <c r="I77" s="381"/>
    </row>
    <row r="78" spans="1:9" s="385" customFormat="1" ht="14.1" customHeight="1">
      <c r="A78" s="403" t="s">
        <v>83</v>
      </c>
      <c r="B78" s="381"/>
      <c r="C78" s="381"/>
      <c r="D78" s="381"/>
      <c r="E78" s="381"/>
      <c r="F78" s="381"/>
      <c r="G78" s="381"/>
      <c r="H78" s="381"/>
      <c r="I78" s="381"/>
    </row>
    <row r="79" spans="1:9" s="385" customFormat="1" ht="11.25" customHeight="1">
      <c r="A79" s="402"/>
      <c r="B79" s="381"/>
      <c r="C79" s="381"/>
      <c r="D79" s="381"/>
      <c r="E79" s="381"/>
      <c r="F79" s="381"/>
      <c r="G79" s="381"/>
      <c r="H79" s="381"/>
      <c r="I79" s="381"/>
    </row>
    <row r="80" spans="1:9" s="385" customFormat="1" ht="15.75">
      <c r="A80" s="342" t="s">
        <v>209</v>
      </c>
      <c r="B80" s="404"/>
      <c r="E80" s="405"/>
      <c r="F80" s="357"/>
      <c r="G80" s="404"/>
      <c r="H80" s="406"/>
      <c r="I80" s="406"/>
    </row>
    <row r="81" spans="1:9" s="385" customFormat="1" ht="13.5" customHeight="1">
      <c r="A81" s="344"/>
      <c r="B81" s="404"/>
      <c r="E81" s="405"/>
      <c r="F81" s="357"/>
      <c r="G81" s="404"/>
      <c r="H81" s="406"/>
      <c r="I81" s="406"/>
    </row>
    <row r="82" spans="1:9" s="385" customFormat="1" ht="14.1" customHeight="1">
      <c r="A82" s="345"/>
      <c r="B82" s="346">
        <v>500</v>
      </c>
      <c r="C82" s="347" t="s">
        <v>17</v>
      </c>
      <c r="D82" s="347" t="s">
        <v>176</v>
      </c>
      <c r="E82" s="347" t="s">
        <v>18</v>
      </c>
      <c r="F82" s="347" t="s">
        <v>19</v>
      </c>
      <c r="G82" s="347" t="s">
        <v>190</v>
      </c>
      <c r="H82" s="346"/>
      <c r="I82" s="348"/>
    </row>
    <row r="83" spans="1:9" s="385" customFormat="1" ht="14.1" customHeight="1">
      <c r="A83" s="350" t="s">
        <v>192</v>
      </c>
      <c r="B83" s="351" t="s">
        <v>22</v>
      </c>
      <c r="C83" s="351" t="s">
        <v>22</v>
      </c>
      <c r="D83" s="351" t="s">
        <v>22</v>
      </c>
      <c r="E83" s="351" t="s">
        <v>22</v>
      </c>
      <c r="F83" s="351" t="s">
        <v>22</v>
      </c>
      <c r="G83" s="351" t="s">
        <v>22</v>
      </c>
      <c r="H83" s="351" t="s">
        <v>193</v>
      </c>
      <c r="I83" s="350" t="s">
        <v>177</v>
      </c>
    </row>
    <row r="84" spans="1:9" s="385" customFormat="1" ht="14.1" customHeight="1">
      <c r="A84" s="352"/>
      <c r="B84" s="353" t="s">
        <v>26</v>
      </c>
      <c r="C84" s="353" t="s">
        <v>176</v>
      </c>
      <c r="D84" s="353" t="s">
        <v>18</v>
      </c>
      <c r="E84" s="353" t="s">
        <v>19</v>
      </c>
      <c r="F84" s="353" t="s">
        <v>23</v>
      </c>
      <c r="G84" s="353" t="s">
        <v>195</v>
      </c>
      <c r="H84" s="353" t="s">
        <v>29</v>
      </c>
      <c r="I84" s="354"/>
    </row>
    <row r="85" spans="1:9" s="385" customFormat="1" ht="14.1" customHeight="1">
      <c r="A85" s="407"/>
      <c r="E85" s="408" t="s">
        <v>87</v>
      </c>
      <c r="I85" s="409"/>
    </row>
    <row r="86" spans="1:9" s="385" customFormat="1" ht="12.75" customHeight="1">
      <c r="A86" s="410" t="s">
        <v>198</v>
      </c>
      <c r="B86" s="411">
        <v>15</v>
      </c>
      <c r="C86" s="412">
        <v>6</v>
      </c>
      <c r="D86" s="413">
        <v>3</v>
      </c>
      <c r="E86" s="414">
        <v>5</v>
      </c>
      <c r="F86" s="415"/>
      <c r="G86" s="414">
        <v>10</v>
      </c>
      <c r="H86" s="415"/>
      <c r="I86" s="413">
        <v>39</v>
      </c>
    </row>
    <row r="87" spans="1:9" s="385" customFormat="1" ht="12.75" customHeight="1">
      <c r="A87" s="416" t="s">
        <v>168</v>
      </c>
      <c r="B87" s="407">
        <v>12</v>
      </c>
      <c r="C87" s="417">
        <v>6</v>
      </c>
      <c r="D87" s="418">
        <v>4</v>
      </c>
      <c r="E87" s="419">
        <v>6</v>
      </c>
      <c r="F87" s="420"/>
      <c r="G87" s="419">
        <v>8</v>
      </c>
      <c r="H87" s="420"/>
      <c r="I87" s="409">
        <v>36</v>
      </c>
    </row>
    <row r="88" spans="1:9" ht="12.75" customHeight="1">
      <c r="A88" s="416" t="s">
        <v>72</v>
      </c>
      <c r="B88" s="407"/>
      <c r="C88" s="363">
        <v>18</v>
      </c>
      <c r="D88" s="421">
        <v>18</v>
      </c>
      <c r="E88" s="385"/>
      <c r="F88" s="385"/>
      <c r="G88" s="385"/>
      <c r="H88" s="409"/>
      <c r="I88" s="409">
        <v>36</v>
      </c>
    </row>
    <row r="89" spans="1:9" ht="12.75" customHeight="1">
      <c r="A89" s="416" t="s">
        <v>73</v>
      </c>
      <c r="B89" s="407">
        <v>10</v>
      </c>
      <c r="C89" s="355">
        <v>8</v>
      </c>
      <c r="D89" s="409">
        <v>3</v>
      </c>
      <c r="E89" s="422">
        <v>3</v>
      </c>
      <c r="F89" s="423"/>
      <c r="G89" s="423">
        <v>10</v>
      </c>
      <c r="H89" s="424"/>
      <c r="I89" s="409">
        <v>34</v>
      </c>
    </row>
    <row r="90" spans="1:9" ht="12.75" hidden="1" customHeight="1">
      <c r="A90" s="416" t="s">
        <v>74</v>
      </c>
      <c r="B90" s="425">
        <v>9</v>
      </c>
      <c r="C90" s="425"/>
      <c r="D90" s="426">
        <v>14</v>
      </c>
      <c r="E90" s="420"/>
      <c r="F90" s="423"/>
      <c r="G90" s="423">
        <v>10</v>
      </c>
      <c r="H90" s="424"/>
      <c r="I90" s="409">
        <v>33</v>
      </c>
    </row>
    <row r="91" spans="1:9" ht="12.75" hidden="1" customHeight="1">
      <c r="A91" s="416" t="s">
        <v>75</v>
      </c>
      <c r="B91" s="425">
        <v>9</v>
      </c>
      <c r="C91" s="419">
        <v>8</v>
      </c>
      <c r="D91" s="358"/>
      <c r="E91" s="427">
        <v>14</v>
      </c>
      <c r="F91" s="428"/>
      <c r="G91" s="428"/>
      <c r="H91" s="420"/>
      <c r="I91" s="429">
        <v>31</v>
      </c>
    </row>
    <row r="92" spans="1:9" ht="12.75" customHeight="1">
      <c r="A92" s="416" t="s">
        <v>76</v>
      </c>
      <c r="B92" s="425">
        <v>6</v>
      </c>
      <c r="C92" s="355">
        <v>4</v>
      </c>
      <c r="D92" s="409">
        <v>4</v>
      </c>
      <c r="E92" s="427">
        <v>12</v>
      </c>
      <c r="F92" s="428"/>
      <c r="G92" s="428"/>
      <c r="H92" s="420"/>
      <c r="I92" s="429">
        <v>26</v>
      </c>
    </row>
    <row r="93" spans="1:9" ht="12.75" customHeight="1">
      <c r="A93" s="416" t="s">
        <v>77</v>
      </c>
      <c r="B93" s="425">
        <v>9</v>
      </c>
      <c r="C93" s="430">
        <v>4</v>
      </c>
      <c r="D93" s="409">
        <v>4</v>
      </c>
      <c r="E93" s="427">
        <v>12</v>
      </c>
      <c r="F93" s="428"/>
      <c r="G93" s="428"/>
      <c r="H93" s="420"/>
      <c r="I93" s="429">
        <v>29</v>
      </c>
    </row>
    <row r="94" spans="1:9" ht="12.75" customHeight="1">
      <c r="A94" s="416" t="s">
        <v>78</v>
      </c>
      <c r="B94" s="425">
        <v>7</v>
      </c>
      <c r="C94" s="430">
        <v>4</v>
      </c>
      <c r="D94" s="429">
        <v>4</v>
      </c>
      <c r="E94" s="427">
        <v>12</v>
      </c>
      <c r="F94" s="428"/>
      <c r="G94" s="428"/>
      <c r="H94" s="420"/>
      <c r="I94" s="429">
        <v>27</v>
      </c>
    </row>
    <row r="95" spans="1:9" ht="12.75" customHeight="1">
      <c r="A95" s="416" t="s">
        <v>79</v>
      </c>
      <c r="B95" s="425">
        <v>6</v>
      </c>
      <c r="C95" s="430">
        <v>4</v>
      </c>
      <c r="D95" s="429">
        <v>4</v>
      </c>
      <c r="E95" s="427">
        <v>13</v>
      </c>
      <c r="F95" s="428"/>
      <c r="G95" s="428"/>
      <c r="H95" s="420"/>
      <c r="I95" s="429">
        <v>27</v>
      </c>
    </row>
    <row r="96" spans="1:9" s="436" customFormat="1" ht="12.75" customHeight="1">
      <c r="A96" s="431" t="s">
        <v>80</v>
      </c>
      <c r="B96" s="425">
        <v>7</v>
      </c>
      <c r="C96" s="432">
        <v>7</v>
      </c>
      <c r="D96" s="433"/>
      <c r="E96" s="432">
        <v>3</v>
      </c>
      <c r="F96" s="434"/>
      <c r="G96" s="435">
        <v>7</v>
      </c>
      <c r="H96" s="434"/>
      <c r="I96" s="429">
        <v>24</v>
      </c>
    </row>
    <row r="97" spans="1:9" ht="12.75" customHeight="1">
      <c r="A97" s="416" t="s">
        <v>81</v>
      </c>
      <c r="B97" s="355">
        <v>5</v>
      </c>
      <c r="C97" s="1269">
        <v>8</v>
      </c>
      <c r="D97" s="1270"/>
      <c r="E97" s="1271">
        <v>10</v>
      </c>
      <c r="F97" s="1272"/>
      <c r="G97" s="1272"/>
      <c r="H97" s="1273"/>
      <c r="I97" s="429">
        <v>23</v>
      </c>
    </row>
    <row r="98" spans="1:9" ht="12.75" customHeight="1">
      <c r="A98" s="416" t="s">
        <v>82</v>
      </c>
      <c r="B98" s="355">
        <v>7</v>
      </c>
      <c r="C98" s="437">
        <v>8</v>
      </c>
      <c r="D98" s="438"/>
      <c r="E98" s="1271">
        <v>9</v>
      </c>
      <c r="F98" s="1272"/>
      <c r="G98" s="1272"/>
      <c r="H98" s="1273"/>
      <c r="I98" s="429">
        <v>24</v>
      </c>
    </row>
    <row r="99" spans="1:9" ht="12.75" customHeight="1">
      <c r="A99" s="399" t="s">
        <v>164</v>
      </c>
      <c r="B99" s="1266">
        <v>11</v>
      </c>
      <c r="C99" s="1267"/>
      <c r="D99" s="439">
        <v>3</v>
      </c>
      <c r="E99" s="440">
        <v>0</v>
      </c>
      <c r="F99" s="1268">
        <v>10</v>
      </c>
      <c r="G99" s="1268"/>
      <c r="H99" s="1267"/>
      <c r="I99" s="429">
        <v>24</v>
      </c>
    </row>
    <row r="100" spans="1:9">
      <c r="A100" s="441"/>
      <c r="B100" s="442"/>
      <c r="C100" s="442"/>
      <c r="D100" s="442"/>
      <c r="E100" s="443" t="s">
        <v>88</v>
      </c>
      <c r="F100" s="442"/>
      <c r="G100" s="442"/>
      <c r="H100" s="442"/>
      <c r="I100" s="444"/>
    </row>
    <row r="101" spans="1:9">
      <c r="A101" s="445" t="s">
        <v>198</v>
      </c>
      <c r="B101" s="407">
        <v>44</v>
      </c>
      <c r="C101" s="446">
        <v>9</v>
      </c>
      <c r="D101" s="407">
        <v>12</v>
      </c>
      <c r="E101" s="407"/>
      <c r="F101" s="421">
        <v>9.5</v>
      </c>
      <c r="G101" s="447"/>
      <c r="H101" s="421">
        <v>6</v>
      </c>
      <c r="I101" s="409">
        <v>80.5</v>
      </c>
    </row>
    <row r="102" spans="1:9">
      <c r="A102" s="416" t="s">
        <v>168</v>
      </c>
      <c r="B102" s="407">
        <v>45</v>
      </c>
      <c r="C102" s="407">
        <v>7</v>
      </c>
      <c r="D102" s="407">
        <v>11</v>
      </c>
      <c r="E102" s="407">
        <v>8</v>
      </c>
      <c r="F102" s="355">
        <v>3</v>
      </c>
      <c r="G102" s="419"/>
      <c r="H102" s="421">
        <v>6</v>
      </c>
      <c r="I102" s="409">
        <v>80</v>
      </c>
    </row>
    <row r="103" spans="1:9" hidden="1">
      <c r="A103" s="416" t="s">
        <v>72</v>
      </c>
      <c r="B103" s="407">
        <v>48</v>
      </c>
      <c r="C103" s="407"/>
      <c r="D103" s="407">
        <v>32</v>
      </c>
      <c r="E103" s="407"/>
      <c r="F103" s="355"/>
      <c r="G103" s="419"/>
      <c r="H103" s="421">
        <v>6</v>
      </c>
      <c r="I103" s="409">
        <v>86</v>
      </c>
    </row>
    <row r="104" spans="1:9" hidden="1">
      <c r="A104" s="416" t="s">
        <v>73</v>
      </c>
      <c r="B104" s="407">
        <v>42</v>
      </c>
      <c r="C104" s="407">
        <v>8</v>
      </c>
      <c r="D104" s="407">
        <v>11</v>
      </c>
      <c r="E104" s="407">
        <v>4</v>
      </c>
      <c r="F104" s="355">
        <v>6</v>
      </c>
      <c r="G104" s="419"/>
      <c r="H104" s="421">
        <v>6</v>
      </c>
      <c r="I104" s="409">
        <v>77</v>
      </c>
    </row>
    <row r="105" spans="1:9" hidden="1">
      <c r="A105" s="416" t="s">
        <v>74</v>
      </c>
      <c r="B105" s="407">
        <v>39</v>
      </c>
      <c r="C105" s="407">
        <v>8</v>
      </c>
      <c r="D105" s="407">
        <v>14</v>
      </c>
      <c r="E105" s="407"/>
      <c r="F105" s="421">
        <v>6</v>
      </c>
      <c r="G105" s="428"/>
      <c r="H105" s="421">
        <v>7</v>
      </c>
      <c r="I105" s="409">
        <v>74</v>
      </c>
    </row>
    <row r="106" spans="1:9" hidden="1">
      <c r="A106" s="416" t="s">
        <v>75</v>
      </c>
      <c r="B106" s="407">
        <v>40</v>
      </c>
      <c r="C106" s="407">
        <v>8</v>
      </c>
      <c r="D106" s="407">
        <v>8</v>
      </c>
      <c r="E106" s="407">
        <v>6</v>
      </c>
      <c r="F106" s="355">
        <v>3</v>
      </c>
      <c r="G106" s="428"/>
      <c r="H106" s="421">
        <v>8</v>
      </c>
      <c r="I106" s="409">
        <v>73</v>
      </c>
    </row>
    <row r="107" spans="1:9">
      <c r="A107" s="416" t="s">
        <v>76</v>
      </c>
      <c r="B107" s="407">
        <v>37</v>
      </c>
      <c r="C107" s="407">
        <v>7</v>
      </c>
      <c r="D107" s="407">
        <v>7</v>
      </c>
      <c r="E107" s="407">
        <v>6</v>
      </c>
      <c r="F107" s="355">
        <v>4</v>
      </c>
      <c r="G107" s="428"/>
      <c r="H107" s="421">
        <v>8</v>
      </c>
      <c r="I107" s="409">
        <v>69</v>
      </c>
    </row>
    <row r="108" spans="1:9">
      <c r="A108" s="416" t="s">
        <v>77</v>
      </c>
      <c r="B108" s="407">
        <v>34</v>
      </c>
      <c r="C108" s="407">
        <v>7</v>
      </c>
      <c r="D108" s="407">
        <v>7</v>
      </c>
      <c r="E108" s="407">
        <v>5</v>
      </c>
      <c r="F108" s="355">
        <v>6</v>
      </c>
      <c r="G108" s="428"/>
      <c r="H108" s="421">
        <v>7</v>
      </c>
      <c r="I108" s="409">
        <v>66</v>
      </c>
    </row>
    <row r="109" spans="1:9">
      <c r="A109" s="416" t="s">
        <v>78</v>
      </c>
      <c r="B109" s="407">
        <v>32</v>
      </c>
      <c r="C109" s="407">
        <v>9</v>
      </c>
      <c r="D109" s="407">
        <v>6</v>
      </c>
      <c r="E109" s="407">
        <v>5</v>
      </c>
      <c r="F109" s="355">
        <v>6</v>
      </c>
      <c r="G109" s="428"/>
      <c r="H109" s="421">
        <v>7</v>
      </c>
      <c r="I109" s="409">
        <v>65</v>
      </c>
    </row>
    <row r="110" spans="1:9">
      <c r="A110" s="416" t="s">
        <v>79</v>
      </c>
      <c r="B110" s="407">
        <v>33</v>
      </c>
      <c r="C110" s="407">
        <v>6</v>
      </c>
      <c r="D110" s="407">
        <v>7</v>
      </c>
      <c r="E110" s="407">
        <v>4</v>
      </c>
      <c r="F110" s="355">
        <v>7</v>
      </c>
      <c r="G110" s="428"/>
      <c r="H110" s="421">
        <v>6</v>
      </c>
      <c r="I110" s="409">
        <v>63</v>
      </c>
    </row>
    <row r="111" spans="1:9" s="436" customFormat="1">
      <c r="A111" s="431" t="s">
        <v>80</v>
      </c>
      <c r="B111" s="425">
        <v>27</v>
      </c>
      <c r="C111" s="425">
        <v>5</v>
      </c>
      <c r="D111" s="425">
        <v>6</v>
      </c>
      <c r="E111" s="425">
        <v>6</v>
      </c>
      <c r="F111" s="430">
        <v>5</v>
      </c>
      <c r="G111" s="430">
        <v>3</v>
      </c>
      <c r="H111" s="429">
        <v>4</v>
      </c>
      <c r="I111" s="429">
        <v>56</v>
      </c>
    </row>
    <row r="112" spans="1:9">
      <c r="A112" s="416" t="s">
        <v>81</v>
      </c>
      <c r="B112" s="355">
        <v>24</v>
      </c>
      <c r="C112" s="448">
        <v>5</v>
      </c>
      <c r="D112" s="449">
        <v>8</v>
      </c>
      <c r="E112" s="446">
        <v>5</v>
      </c>
      <c r="F112" s="417">
        <v>5</v>
      </c>
      <c r="G112" s="1271">
        <v>7</v>
      </c>
      <c r="H112" s="1273"/>
      <c r="I112" s="429">
        <v>54</v>
      </c>
    </row>
    <row r="113" spans="1:9">
      <c r="A113" s="416" t="s">
        <v>82</v>
      </c>
      <c r="B113" s="355">
        <v>23</v>
      </c>
      <c r="C113" s="448">
        <v>5</v>
      </c>
      <c r="D113" s="449">
        <v>8</v>
      </c>
      <c r="E113" s="446">
        <v>5</v>
      </c>
      <c r="F113" s="446">
        <v>5</v>
      </c>
      <c r="G113" s="1271">
        <v>7</v>
      </c>
      <c r="H113" s="1273"/>
      <c r="I113" s="429">
        <v>53</v>
      </c>
    </row>
    <row r="114" spans="1:9" ht="14.25">
      <c r="A114" s="399" t="s">
        <v>164</v>
      </c>
      <c r="B114" s="450">
        <v>16</v>
      </c>
      <c r="C114" s="451">
        <v>10</v>
      </c>
      <c r="D114" s="452">
        <v>5</v>
      </c>
      <c r="E114" s="440">
        <v>5</v>
      </c>
      <c r="F114" s="439">
        <v>6</v>
      </c>
      <c r="G114" s="453">
        <v>3</v>
      </c>
      <c r="H114" s="454">
        <v>4</v>
      </c>
      <c r="I114" s="455">
        <v>49</v>
      </c>
    </row>
    <row r="115" spans="1:9">
      <c r="A115" s="441"/>
      <c r="B115" s="442"/>
      <c r="C115" s="442"/>
      <c r="D115" s="442"/>
      <c r="E115" s="443" t="s">
        <v>89</v>
      </c>
      <c r="F115" s="442"/>
      <c r="G115" s="442"/>
      <c r="H115" s="442"/>
      <c r="I115" s="444"/>
    </row>
    <row r="116" spans="1:9">
      <c r="A116" s="445" t="s">
        <v>198</v>
      </c>
      <c r="B116" s="355">
        <v>111</v>
      </c>
      <c r="C116" s="355">
        <v>18</v>
      </c>
      <c r="D116" s="407">
        <v>18</v>
      </c>
      <c r="E116" s="419">
        <v>16</v>
      </c>
      <c r="F116" s="420"/>
      <c r="G116" s="419">
        <v>5</v>
      </c>
      <c r="H116" s="420"/>
      <c r="I116" s="409">
        <v>168</v>
      </c>
    </row>
    <row r="117" spans="1:9">
      <c r="A117" s="416" t="s">
        <v>168</v>
      </c>
      <c r="B117" s="355">
        <v>119</v>
      </c>
      <c r="C117" s="355">
        <v>20</v>
      </c>
      <c r="D117" s="407">
        <v>15</v>
      </c>
      <c r="E117" s="407">
        <v>12</v>
      </c>
      <c r="F117" s="355">
        <v>4</v>
      </c>
      <c r="G117" s="456">
        <v>4</v>
      </c>
      <c r="H117" s="457" t="s">
        <v>133</v>
      </c>
      <c r="I117" s="409">
        <v>174</v>
      </c>
    </row>
    <row r="118" spans="1:9" hidden="1">
      <c r="A118" s="416" t="s">
        <v>72</v>
      </c>
      <c r="B118" s="355">
        <v>114</v>
      </c>
      <c r="C118" s="355">
        <v>15</v>
      </c>
      <c r="D118" s="407">
        <v>18</v>
      </c>
      <c r="E118" s="407">
        <v>11</v>
      </c>
      <c r="F118" s="355">
        <v>9</v>
      </c>
      <c r="G118" s="456">
        <v>4</v>
      </c>
      <c r="H118" s="355"/>
      <c r="I118" s="409">
        <v>167</v>
      </c>
    </row>
    <row r="119" spans="1:9" hidden="1">
      <c r="A119" s="416" t="s">
        <v>73</v>
      </c>
      <c r="B119" s="355">
        <v>117</v>
      </c>
      <c r="C119" s="355">
        <v>16</v>
      </c>
      <c r="D119" s="407">
        <v>15</v>
      </c>
      <c r="E119" s="407">
        <v>14</v>
      </c>
      <c r="F119" s="355">
        <v>5</v>
      </c>
      <c r="G119" s="456">
        <v>4</v>
      </c>
      <c r="H119" s="457" t="s">
        <v>133</v>
      </c>
      <c r="I119" s="409">
        <v>171</v>
      </c>
    </row>
    <row r="120" spans="1:9" hidden="1">
      <c r="A120" s="416" t="s">
        <v>74</v>
      </c>
      <c r="B120" s="355">
        <v>114</v>
      </c>
      <c r="C120" s="355">
        <v>18</v>
      </c>
      <c r="D120" s="407">
        <v>12</v>
      </c>
      <c r="E120" s="449">
        <v>13</v>
      </c>
      <c r="F120" s="355">
        <v>5</v>
      </c>
      <c r="G120" s="419">
        <v>4</v>
      </c>
      <c r="H120" s="458"/>
      <c r="I120" s="409">
        <v>166</v>
      </c>
    </row>
    <row r="121" spans="1:9" hidden="1">
      <c r="A121" s="416" t="s">
        <v>75</v>
      </c>
      <c r="B121" s="355">
        <v>114</v>
      </c>
      <c r="C121" s="355">
        <v>18</v>
      </c>
      <c r="D121" s="407">
        <v>17</v>
      </c>
      <c r="E121" s="446">
        <v>10</v>
      </c>
      <c r="F121" s="355">
        <v>5</v>
      </c>
      <c r="G121" s="419">
        <v>4</v>
      </c>
      <c r="H121" s="420"/>
      <c r="I121" s="409">
        <v>168</v>
      </c>
    </row>
    <row r="122" spans="1:9">
      <c r="A122" s="416" t="s">
        <v>76</v>
      </c>
      <c r="B122" s="355">
        <v>111</v>
      </c>
      <c r="C122" s="355">
        <v>16</v>
      </c>
      <c r="D122" s="407">
        <v>17</v>
      </c>
      <c r="E122" s="446">
        <v>10</v>
      </c>
      <c r="F122" s="355">
        <v>6</v>
      </c>
      <c r="G122" s="419">
        <v>4</v>
      </c>
      <c r="H122" s="420"/>
      <c r="I122" s="409">
        <v>164</v>
      </c>
    </row>
    <row r="123" spans="1:9">
      <c r="A123" s="416" t="s">
        <v>77</v>
      </c>
      <c r="B123" s="355">
        <v>113</v>
      </c>
      <c r="C123" s="355">
        <v>12</v>
      </c>
      <c r="D123" s="407">
        <v>18</v>
      </c>
      <c r="E123" s="407">
        <v>10</v>
      </c>
      <c r="F123" s="355">
        <v>5</v>
      </c>
      <c r="G123" s="456">
        <v>4</v>
      </c>
      <c r="H123" s="457" t="s">
        <v>133</v>
      </c>
      <c r="I123" s="409">
        <v>162</v>
      </c>
    </row>
    <row r="124" spans="1:9">
      <c r="A124" s="416" t="s">
        <v>78</v>
      </c>
      <c r="B124" s="355">
        <v>107</v>
      </c>
      <c r="C124" s="355">
        <v>15</v>
      </c>
      <c r="D124" s="407">
        <v>15</v>
      </c>
      <c r="E124" s="407">
        <v>10</v>
      </c>
      <c r="F124" s="355">
        <v>6</v>
      </c>
      <c r="G124" s="419">
        <v>5</v>
      </c>
      <c r="H124" s="420"/>
      <c r="I124" s="409">
        <v>158</v>
      </c>
    </row>
    <row r="125" spans="1:9">
      <c r="A125" s="416" t="s">
        <v>79</v>
      </c>
      <c r="B125" s="355">
        <v>105</v>
      </c>
      <c r="C125" s="355">
        <v>16</v>
      </c>
      <c r="D125" s="407">
        <v>14</v>
      </c>
      <c r="E125" s="407">
        <v>11</v>
      </c>
      <c r="F125" s="355">
        <v>5</v>
      </c>
      <c r="G125" s="419">
        <v>6</v>
      </c>
      <c r="H125" s="420"/>
      <c r="I125" s="409">
        <v>157</v>
      </c>
    </row>
    <row r="126" spans="1:9" s="436" customFormat="1">
      <c r="A126" s="431" t="s">
        <v>80</v>
      </c>
      <c r="B126" s="430">
        <v>96</v>
      </c>
      <c r="C126" s="430">
        <v>13</v>
      </c>
      <c r="D126" s="425">
        <v>12</v>
      </c>
      <c r="E126" s="425">
        <v>9</v>
      </c>
      <c r="F126" s="430">
        <v>8</v>
      </c>
      <c r="G126" s="456">
        <v>4</v>
      </c>
      <c r="H126" s="430">
        <v>3</v>
      </c>
      <c r="I126" s="429">
        <v>145</v>
      </c>
    </row>
    <row r="127" spans="1:9">
      <c r="A127" s="416" t="s">
        <v>81</v>
      </c>
      <c r="B127" s="355">
        <v>96</v>
      </c>
      <c r="C127" s="448">
        <v>12</v>
      </c>
      <c r="D127" s="459">
        <v>9</v>
      </c>
      <c r="E127" s="417">
        <v>11</v>
      </c>
      <c r="F127" s="448">
        <v>8</v>
      </c>
      <c r="G127" s="1274">
        <v>6</v>
      </c>
      <c r="H127" s="1275"/>
      <c r="I127" s="429">
        <v>142</v>
      </c>
    </row>
    <row r="128" spans="1:9">
      <c r="A128" s="416" t="s">
        <v>82</v>
      </c>
      <c r="B128" s="355">
        <v>87</v>
      </c>
      <c r="C128" s="448">
        <v>14</v>
      </c>
      <c r="D128" s="449">
        <v>10</v>
      </c>
      <c r="E128" s="417">
        <v>9</v>
      </c>
      <c r="F128" s="448">
        <v>8</v>
      </c>
      <c r="G128" s="1274">
        <v>7</v>
      </c>
      <c r="H128" s="1275"/>
      <c r="I128" s="429">
        <v>135</v>
      </c>
    </row>
    <row r="129" spans="1:9" ht="14.25">
      <c r="A129" s="399" t="s">
        <v>164</v>
      </c>
      <c r="B129" s="450">
        <v>69</v>
      </c>
      <c r="C129" s="451">
        <v>12</v>
      </c>
      <c r="D129" s="452">
        <v>12</v>
      </c>
      <c r="E129" s="451">
        <v>10</v>
      </c>
      <c r="F129" s="451">
        <v>6</v>
      </c>
      <c r="G129" s="460">
        <v>4</v>
      </c>
      <c r="H129" s="461">
        <v>3</v>
      </c>
      <c r="I129" s="455">
        <v>116</v>
      </c>
    </row>
    <row r="130" spans="1:9">
      <c r="A130" s="441"/>
      <c r="B130" s="442"/>
      <c r="C130" s="442"/>
      <c r="D130" s="442"/>
      <c r="E130" s="443" t="s">
        <v>90</v>
      </c>
      <c r="F130" s="442"/>
      <c r="G130" s="442"/>
      <c r="H130" s="442"/>
      <c r="I130" s="444"/>
    </row>
    <row r="131" spans="1:9">
      <c r="A131" s="410" t="s">
        <v>198</v>
      </c>
      <c r="B131" s="412">
        <v>48</v>
      </c>
      <c r="C131" s="462">
        <v>8</v>
      </c>
      <c r="D131" s="413">
        <v>6</v>
      </c>
      <c r="E131" s="414">
        <v>8</v>
      </c>
      <c r="F131" s="415"/>
      <c r="G131" s="414">
        <v>5</v>
      </c>
      <c r="H131" s="415"/>
      <c r="I131" s="413">
        <v>75</v>
      </c>
    </row>
    <row r="132" spans="1:9">
      <c r="A132" s="416" t="s">
        <v>168</v>
      </c>
      <c r="B132" s="355">
        <v>48</v>
      </c>
      <c r="C132" s="355">
        <v>4</v>
      </c>
      <c r="D132" s="409">
        <v>6</v>
      </c>
      <c r="E132" s="419">
        <v>8</v>
      </c>
      <c r="F132" s="420"/>
      <c r="G132" s="419">
        <v>5</v>
      </c>
      <c r="H132" s="420"/>
      <c r="I132" s="409">
        <v>71</v>
      </c>
    </row>
    <row r="133" spans="1:9" hidden="1">
      <c r="A133" s="416" t="s">
        <v>72</v>
      </c>
      <c r="B133" s="355"/>
      <c r="C133" s="355"/>
      <c r="D133" s="409"/>
      <c r="E133" s="355"/>
      <c r="F133" s="355"/>
      <c r="G133" s="419"/>
      <c r="H133" s="420"/>
      <c r="I133" s="409">
        <v>0</v>
      </c>
    </row>
    <row r="134" spans="1:9" hidden="1">
      <c r="A134" s="416" t="s">
        <v>73</v>
      </c>
      <c r="B134" s="355">
        <v>43</v>
      </c>
      <c r="C134" s="355">
        <v>4</v>
      </c>
      <c r="D134" s="409">
        <v>5</v>
      </c>
      <c r="E134" s="355">
        <v>4</v>
      </c>
      <c r="F134" s="355">
        <v>4</v>
      </c>
      <c r="G134" s="419">
        <v>5</v>
      </c>
      <c r="H134" s="420"/>
      <c r="I134" s="409">
        <v>65</v>
      </c>
    </row>
    <row r="135" spans="1:9" hidden="1">
      <c r="A135" s="416" t="s">
        <v>74</v>
      </c>
      <c r="B135" s="355">
        <v>42</v>
      </c>
      <c r="C135" s="385"/>
      <c r="D135" s="421">
        <v>9</v>
      </c>
      <c r="E135" s="355">
        <v>3</v>
      </c>
      <c r="F135" s="355">
        <v>4</v>
      </c>
      <c r="G135" s="419">
        <v>5</v>
      </c>
      <c r="H135" s="420"/>
      <c r="I135" s="409">
        <v>63</v>
      </c>
    </row>
    <row r="136" spans="1:9" hidden="1">
      <c r="A136" s="416" t="s">
        <v>75</v>
      </c>
      <c r="B136" s="355">
        <v>41</v>
      </c>
      <c r="C136" s="385"/>
      <c r="D136" s="421">
        <v>9</v>
      </c>
      <c r="E136" s="458">
        <v>6</v>
      </c>
      <c r="F136" s="420"/>
      <c r="G136" s="419">
        <v>5</v>
      </c>
      <c r="H136" s="420"/>
      <c r="I136" s="409">
        <v>61</v>
      </c>
    </row>
    <row r="137" spans="1:9">
      <c r="A137" s="416" t="s">
        <v>76</v>
      </c>
      <c r="B137" s="355">
        <v>41</v>
      </c>
      <c r="C137" s="355">
        <v>4</v>
      </c>
      <c r="D137" s="409">
        <v>3</v>
      </c>
      <c r="E137" s="419">
        <v>6</v>
      </c>
      <c r="F137" s="420"/>
      <c r="G137" s="419">
        <v>5</v>
      </c>
      <c r="H137" s="420"/>
      <c r="I137" s="409">
        <v>59</v>
      </c>
    </row>
    <row r="138" spans="1:9">
      <c r="A138" s="416" t="s">
        <v>77</v>
      </c>
      <c r="B138" s="355">
        <v>41</v>
      </c>
      <c r="C138" s="355">
        <v>3</v>
      </c>
      <c r="D138" s="409">
        <v>4</v>
      </c>
      <c r="E138" s="419">
        <v>7</v>
      </c>
      <c r="F138" s="420"/>
      <c r="G138" s="419">
        <v>5</v>
      </c>
      <c r="H138" s="420"/>
      <c r="I138" s="409">
        <v>60</v>
      </c>
    </row>
    <row r="139" spans="1:9">
      <c r="A139" s="416" t="s">
        <v>78</v>
      </c>
      <c r="B139" s="355">
        <v>39</v>
      </c>
      <c r="C139" s="355">
        <v>3</v>
      </c>
      <c r="D139" s="409">
        <v>5</v>
      </c>
      <c r="E139" s="419">
        <v>5</v>
      </c>
      <c r="F139" s="420"/>
      <c r="G139" s="419">
        <v>6</v>
      </c>
      <c r="H139" s="420"/>
      <c r="I139" s="409">
        <v>58</v>
      </c>
    </row>
    <row r="140" spans="1:9">
      <c r="A140" s="416" t="s">
        <v>79</v>
      </c>
      <c r="B140" s="355">
        <v>38</v>
      </c>
      <c r="C140" s="355">
        <v>3</v>
      </c>
      <c r="D140" s="409">
        <v>3</v>
      </c>
      <c r="E140" s="419">
        <v>5</v>
      </c>
      <c r="F140" s="420"/>
      <c r="G140" s="419">
        <v>6</v>
      </c>
      <c r="H140" s="420"/>
      <c r="I140" s="409">
        <v>55</v>
      </c>
    </row>
    <row r="141" spans="1:9" s="436" customFormat="1">
      <c r="A141" s="463" t="s">
        <v>80</v>
      </c>
      <c r="B141" s="430">
        <v>29</v>
      </c>
      <c r="C141" s="425"/>
      <c r="D141" s="464">
        <v>6</v>
      </c>
      <c r="E141" s="434">
        <v>5</v>
      </c>
      <c r="F141" s="434"/>
      <c r="G141" s="432">
        <v>6</v>
      </c>
      <c r="H141" s="434"/>
      <c r="I141" s="429">
        <v>46</v>
      </c>
    </row>
    <row r="142" spans="1:9">
      <c r="A142" s="416" t="s">
        <v>81</v>
      </c>
      <c r="B142" s="355">
        <v>25</v>
      </c>
      <c r="C142" s="385"/>
      <c r="D142" s="421">
        <v>6</v>
      </c>
      <c r="E142" s="1271">
        <v>11</v>
      </c>
      <c r="F142" s="1272"/>
      <c r="G142" s="1272"/>
      <c r="H142" s="1273"/>
      <c r="I142" s="429">
        <v>42</v>
      </c>
    </row>
    <row r="143" spans="1:9">
      <c r="A143" s="416" t="s">
        <v>82</v>
      </c>
      <c r="B143" s="355">
        <v>23</v>
      </c>
      <c r="C143" s="385">
        <v>7</v>
      </c>
      <c r="D143" s="465"/>
      <c r="E143" s="1271">
        <v>10</v>
      </c>
      <c r="F143" s="1272"/>
      <c r="G143" s="1272"/>
      <c r="H143" s="1273"/>
      <c r="I143" s="429">
        <v>40</v>
      </c>
    </row>
    <row r="144" spans="1:9" ht="14.25">
      <c r="A144" s="399" t="s">
        <v>164</v>
      </c>
      <c r="B144" s="1266">
        <v>13</v>
      </c>
      <c r="C144" s="1267"/>
      <c r="D144" s="439">
        <v>4</v>
      </c>
      <c r="E144" s="439">
        <v>4</v>
      </c>
      <c r="F144" s="1268">
        <v>8</v>
      </c>
      <c r="G144" s="1268"/>
      <c r="H144" s="1267"/>
      <c r="I144" s="455">
        <v>29</v>
      </c>
    </row>
    <row r="145" spans="1:9" ht="8.25" customHeight="1">
      <c r="A145" s="466"/>
      <c r="B145" s="385"/>
      <c r="C145" s="385"/>
      <c r="D145" s="465"/>
      <c r="E145" s="428"/>
      <c r="F145" s="428"/>
      <c r="G145" s="385"/>
      <c r="H145" s="385"/>
      <c r="I145" s="385"/>
    </row>
    <row r="146" spans="1:9">
      <c r="A146" s="467" t="s">
        <v>169</v>
      </c>
      <c r="B146" s="468"/>
      <c r="C146" s="468"/>
      <c r="D146" s="469"/>
      <c r="E146" s="470"/>
      <c r="F146" s="470"/>
      <c r="G146" s="468"/>
      <c r="H146" s="468"/>
      <c r="I146" s="385"/>
    </row>
    <row r="147" spans="1:9">
      <c r="A147" s="471" t="s">
        <v>210</v>
      </c>
    </row>
    <row r="148" spans="1:9">
      <c r="A148" s="471" t="s">
        <v>171</v>
      </c>
    </row>
    <row r="149" spans="1:9">
      <c r="A149" s="471" t="s">
        <v>93</v>
      </c>
    </row>
    <row r="150" spans="1:9">
      <c r="A150" s="471" t="s">
        <v>211</v>
      </c>
    </row>
    <row r="151" spans="1:9">
      <c r="A151" s="471" t="s">
        <v>212</v>
      </c>
    </row>
    <row r="152" spans="1:9">
      <c r="A152" s="472" t="s">
        <v>213</v>
      </c>
    </row>
    <row r="153" spans="1:9">
      <c r="A153" s="472" t="s">
        <v>214</v>
      </c>
    </row>
    <row r="154" spans="1:9">
      <c r="A154" s="473" t="s">
        <v>98</v>
      </c>
    </row>
  </sheetData>
  <mergeCells count="13">
    <mergeCell ref="B144:C144"/>
    <mergeCell ref="F144:H144"/>
    <mergeCell ref="C97:D97"/>
    <mergeCell ref="E97:H97"/>
    <mergeCell ref="E98:H98"/>
    <mergeCell ref="B99:C99"/>
    <mergeCell ref="F99:H99"/>
    <mergeCell ref="G112:H112"/>
    <mergeCell ref="G113:H113"/>
    <mergeCell ref="G127:H127"/>
    <mergeCell ref="G128:H128"/>
    <mergeCell ref="E142:H142"/>
    <mergeCell ref="E143:H143"/>
  </mergeCells>
  <pageMargins left="0.78740157480314965" right="0.78740157480314965" top="0.98425196850393704" bottom="0.98425196850393704" header="0.51181102362204722" footer="0.51181102362204722"/>
  <pageSetup paperSize="9" orientation="portrait" horizontalDpi="4294967292" verticalDpi="4294967292" r:id="rId1"/>
  <headerFooter alignWithMargins="0">
    <oddHeader>&amp;LBundesanstalt für Landwirtschaft 
und Ernährung Ref. 423&amp;CStruktur der Mühlenwirtschaft
WJ 2012/13</oddHeader>
    <oddFooter>&amp;L&amp;A</oddFooter>
  </headerFooter>
  <rowBreaks count="1" manualBreakCount="1">
    <brk id="79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IN113"/>
  <sheetViews>
    <sheetView showGridLines="0" zoomScaleNormal="100" workbookViewId="0"/>
  </sheetViews>
  <sheetFormatPr baseColWidth="10" defaultColWidth="9.7109375" defaultRowHeight="12.75"/>
  <cols>
    <col min="1" max="1" width="10.5703125" style="206" customWidth="1"/>
    <col min="2" max="5" width="7.140625" style="206" customWidth="1"/>
    <col min="6" max="6" width="8.85546875" style="206" customWidth="1"/>
    <col min="7" max="8" width="7.140625" style="206" customWidth="1"/>
    <col min="9" max="9" width="7.85546875" style="206" customWidth="1"/>
    <col min="10" max="10" width="7.140625" style="206" customWidth="1"/>
    <col min="11" max="11" width="8.85546875" style="206" customWidth="1"/>
    <col min="12" max="248" width="9.7109375" style="206"/>
    <col min="249" max="249" width="10.5703125" style="206" customWidth="1"/>
    <col min="250" max="253" width="7.140625" style="206" customWidth="1"/>
    <col min="254" max="254" width="8.85546875" style="206" customWidth="1"/>
    <col min="255" max="256" width="7.140625" style="206" customWidth="1"/>
    <col min="257" max="257" width="7.85546875" style="206" customWidth="1"/>
    <col min="258" max="258" width="7.140625" style="206" customWidth="1"/>
    <col min="259" max="259" width="8.85546875" style="206" customWidth="1"/>
    <col min="260" max="262" width="9.7109375" style="206"/>
    <col min="263" max="264" width="10.140625" style="206" bestFit="1" customWidth="1"/>
    <col min="265" max="267" width="11.140625" style="206" bestFit="1" customWidth="1"/>
    <col min="268" max="504" width="9.7109375" style="206"/>
    <col min="505" max="505" width="10.5703125" style="206" customWidth="1"/>
    <col min="506" max="509" width="7.140625" style="206" customWidth="1"/>
    <col min="510" max="510" width="8.85546875" style="206" customWidth="1"/>
    <col min="511" max="512" width="7.140625" style="206" customWidth="1"/>
    <col min="513" max="513" width="7.85546875" style="206" customWidth="1"/>
    <col min="514" max="514" width="7.140625" style="206" customWidth="1"/>
    <col min="515" max="515" width="8.85546875" style="206" customWidth="1"/>
    <col min="516" max="518" width="9.7109375" style="206"/>
    <col min="519" max="520" width="10.140625" style="206" bestFit="1" customWidth="1"/>
    <col min="521" max="523" width="11.140625" style="206" bestFit="1" customWidth="1"/>
    <col min="524" max="760" width="9.7109375" style="206"/>
    <col min="761" max="761" width="10.5703125" style="206" customWidth="1"/>
    <col min="762" max="765" width="7.140625" style="206" customWidth="1"/>
    <col min="766" max="766" width="8.85546875" style="206" customWidth="1"/>
    <col min="767" max="768" width="7.140625" style="206" customWidth="1"/>
    <col min="769" max="769" width="7.85546875" style="206" customWidth="1"/>
    <col min="770" max="770" width="7.140625" style="206" customWidth="1"/>
    <col min="771" max="771" width="8.85546875" style="206" customWidth="1"/>
    <col min="772" max="774" width="9.7109375" style="206"/>
    <col min="775" max="776" width="10.140625" style="206" bestFit="1" customWidth="1"/>
    <col min="777" max="779" width="11.140625" style="206" bestFit="1" customWidth="1"/>
    <col min="780" max="1016" width="9.7109375" style="206"/>
    <col min="1017" max="1017" width="10.5703125" style="206" customWidth="1"/>
    <col min="1018" max="1021" width="7.140625" style="206" customWidth="1"/>
    <col min="1022" max="1022" width="8.85546875" style="206" customWidth="1"/>
    <col min="1023" max="1024" width="7.140625" style="206" customWidth="1"/>
    <col min="1025" max="1025" width="7.85546875" style="206" customWidth="1"/>
    <col min="1026" max="1026" width="7.140625" style="206" customWidth="1"/>
    <col min="1027" max="1027" width="8.85546875" style="206" customWidth="1"/>
    <col min="1028" max="1030" width="9.7109375" style="206"/>
    <col min="1031" max="1032" width="10.140625" style="206" bestFit="1" customWidth="1"/>
    <col min="1033" max="1035" width="11.140625" style="206" bestFit="1" customWidth="1"/>
    <col min="1036" max="1272" width="9.7109375" style="206"/>
    <col min="1273" max="1273" width="10.5703125" style="206" customWidth="1"/>
    <col min="1274" max="1277" width="7.140625" style="206" customWidth="1"/>
    <col min="1278" max="1278" width="8.85546875" style="206" customWidth="1"/>
    <col min="1279" max="1280" width="7.140625" style="206" customWidth="1"/>
    <col min="1281" max="1281" width="7.85546875" style="206" customWidth="1"/>
    <col min="1282" max="1282" width="7.140625" style="206" customWidth="1"/>
    <col min="1283" max="1283" width="8.85546875" style="206" customWidth="1"/>
    <col min="1284" max="1286" width="9.7109375" style="206"/>
    <col min="1287" max="1288" width="10.140625" style="206" bestFit="1" customWidth="1"/>
    <col min="1289" max="1291" width="11.140625" style="206" bestFit="1" customWidth="1"/>
    <col min="1292" max="1528" width="9.7109375" style="206"/>
    <col min="1529" max="1529" width="10.5703125" style="206" customWidth="1"/>
    <col min="1530" max="1533" width="7.140625" style="206" customWidth="1"/>
    <col min="1534" max="1534" width="8.85546875" style="206" customWidth="1"/>
    <col min="1535" max="1536" width="7.140625" style="206" customWidth="1"/>
    <col min="1537" max="1537" width="7.85546875" style="206" customWidth="1"/>
    <col min="1538" max="1538" width="7.140625" style="206" customWidth="1"/>
    <col min="1539" max="1539" width="8.85546875" style="206" customWidth="1"/>
    <col min="1540" max="1542" width="9.7109375" style="206"/>
    <col min="1543" max="1544" width="10.140625" style="206" bestFit="1" customWidth="1"/>
    <col min="1545" max="1547" width="11.140625" style="206" bestFit="1" customWidth="1"/>
    <col min="1548" max="1784" width="9.7109375" style="206"/>
    <col min="1785" max="1785" width="10.5703125" style="206" customWidth="1"/>
    <col min="1786" max="1789" width="7.140625" style="206" customWidth="1"/>
    <col min="1790" max="1790" width="8.85546875" style="206" customWidth="1"/>
    <col min="1791" max="1792" width="7.140625" style="206" customWidth="1"/>
    <col min="1793" max="1793" width="7.85546875" style="206" customWidth="1"/>
    <col min="1794" max="1794" width="7.140625" style="206" customWidth="1"/>
    <col min="1795" max="1795" width="8.85546875" style="206" customWidth="1"/>
    <col min="1796" max="1798" width="9.7109375" style="206"/>
    <col min="1799" max="1800" width="10.140625" style="206" bestFit="1" customWidth="1"/>
    <col min="1801" max="1803" width="11.140625" style="206" bestFit="1" customWidth="1"/>
    <col min="1804" max="2040" width="9.7109375" style="206"/>
    <col min="2041" max="2041" width="10.5703125" style="206" customWidth="1"/>
    <col min="2042" max="2045" width="7.140625" style="206" customWidth="1"/>
    <col min="2046" max="2046" width="8.85546875" style="206" customWidth="1"/>
    <col min="2047" max="2048" width="7.140625" style="206" customWidth="1"/>
    <col min="2049" max="2049" width="7.85546875" style="206" customWidth="1"/>
    <col min="2050" max="2050" width="7.140625" style="206" customWidth="1"/>
    <col min="2051" max="2051" width="8.85546875" style="206" customWidth="1"/>
    <col min="2052" max="2054" width="9.7109375" style="206"/>
    <col min="2055" max="2056" width="10.140625" style="206" bestFit="1" customWidth="1"/>
    <col min="2057" max="2059" width="11.140625" style="206" bestFit="1" customWidth="1"/>
    <col min="2060" max="2296" width="9.7109375" style="206"/>
    <col min="2297" max="2297" width="10.5703125" style="206" customWidth="1"/>
    <col min="2298" max="2301" width="7.140625" style="206" customWidth="1"/>
    <col min="2302" max="2302" width="8.85546875" style="206" customWidth="1"/>
    <col min="2303" max="2304" width="7.140625" style="206" customWidth="1"/>
    <col min="2305" max="2305" width="7.85546875" style="206" customWidth="1"/>
    <col min="2306" max="2306" width="7.140625" style="206" customWidth="1"/>
    <col min="2307" max="2307" width="8.85546875" style="206" customWidth="1"/>
    <col min="2308" max="2310" width="9.7109375" style="206"/>
    <col min="2311" max="2312" width="10.140625" style="206" bestFit="1" customWidth="1"/>
    <col min="2313" max="2315" width="11.140625" style="206" bestFit="1" customWidth="1"/>
    <col min="2316" max="2552" width="9.7109375" style="206"/>
    <col min="2553" max="2553" width="10.5703125" style="206" customWidth="1"/>
    <col min="2554" max="2557" width="7.140625" style="206" customWidth="1"/>
    <col min="2558" max="2558" width="8.85546875" style="206" customWidth="1"/>
    <col min="2559" max="2560" width="7.140625" style="206" customWidth="1"/>
    <col min="2561" max="2561" width="7.85546875" style="206" customWidth="1"/>
    <col min="2562" max="2562" width="7.140625" style="206" customWidth="1"/>
    <col min="2563" max="2563" width="8.85546875" style="206" customWidth="1"/>
    <col min="2564" max="2566" width="9.7109375" style="206"/>
    <col min="2567" max="2568" width="10.140625" style="206" bestFit="1" customWidth="1"/>
    <col min="2569" max="2571" width="11.140625" style="206" bestFit="1" customWidth="1"/>
    <col min="2572" max="2808" width="9.7109375" style="206"/>
    <col min="2809" max="2809" width="10.5703125" style="206" customWidth="1"/>
    <col min="2810" max="2813" width="7.140625" style="206" customWidth="1"/>
    <col min="2814" max="2814" width="8.85546875" style="206" customWidth="1"/>
    <col min="2815" max="2816" width="7.140625" style="206" customWidth="1"/>
    <col min="2817" max="2817" width="7.85546875" style="206" customWidth="1"/>
    <col min="2818" max="2818" width="7.140625" style="206" customWidth="1"/>
    <col min="2819" max="2819" width="8.85546875" style="206" customWidth="1"/>
    <col min="2820" max="2822" width="9.7109375" style="206"/>
    <col min="2823" max="2824" width="10.140625" style="206" bestFit="1" customWidth="1"/>
    <col min="2825" max="2827" width="11.140625" style="206" bestFit="1" customWidth="1"/>
    <col min="2828" max="3064" width="9.7109375" style="206"/>
    <col min="3065" max="3065" width="10.5703125" style="206" customWidth="1"/>
    <col min="3066" max="3069" width="7.140625" style="206" customWidth="1"/>
    <col min="3070" max="3070" width="8.85546875" style="206" customWidth="1"/>
    <col min="3071" max="3072" width="7.140625" style="206" customWidth="1"/>
    <col min="3073" max="3073" width="7.85546875" style="206" customWidth="1"/>
    <col min="3074" max="3074" width="7.140625" style="206" customWidth="1"/>
    <col min="3075" max="3075" width="8.85546875" style="206" customWidth="1"/>
    <col min="3076" max="3078" width="9.7109375" style="206"/>
    <col min="3079" max="3080" width="10.140625" style="206" bestFit="1" customWidth="1"/>
    <col min="3081" max="3083" width="11.140625" style="206" bestFit="1" customWidth="1"/>
    <col min="3084" max="3320" width="9.7109375" style="206"/>
    <col min="3321" max="3321" width="10.5703125" style="206" customWidth="1"/>
    <col min="3322" max="3325" width="7.140625" style="206" customWidth="1"/>
    <col min="3326" max="3326" width="8.85546875" style="206" customWidth="1"/>
    <col min="3327" max="3328" width="7.140625" style="206" customWidth="1"/>
    <col min="3329" max="3329" width="7.85546875" style="206" customWidth="1"/>
    <col min="3330" max="3330" width="7.140625" style="206" customWidth="1"/>
    <col min="3331" max="3331" width="8.85546875" style="206" customWidth="1"/>
    <col min="3332" max="3334" width="9.7109375" style="206"/>
    <col min="3335" max="3336" width="10.140625" style="206" bestFit="1" customWidth="1"/>
    <col min="3337" max="3339" width="11.140625" style="206" bestFit="1" customWidth="1"/>
    <col min="3340" max="3576" width="9.7109375" style="206"/>
    <col min="3577" max="3577" width="10.5703125" style="206" customWidth="1"/>
    <col min="3578" max="3581" width="7.140625" style="206" customWidth="1"/>
    <col min="3582" max="3582" width="8.85546875" style="206" customWidth="1"/>
    <col min="3583" max="3584" width="7.140625" style="206" customWidth="1"/>
    <col min="3585" max="3585" width="7.85546875" style="206" customWidth="1"/>
    <col min="3586" max="3586" width="7.140625" style="206" customWidth="1"/>
    <col min="3587" max="3587" width="8.85546875" style="206" customWidth="1"/>
    <col min="3588" max="3590" width="9.7109375" style="206"/>
    <col min="3591" max="3592" width="10.140625" style="206" bestFit="1" customWidth="1"/>
    <col min="3593" max="3595" width="11.140625" style="206" bestFit="1" customWidth="1"/>
    <col min="3596" max="3832" width="9.7109375" style="206"/>
    <col min="3833" max="3833" width="10.5703125" style="206" customWidth="1"/>
    <col min="3834" max="3837" width="7.140625" style="206" customWidth="1"/>
    <col min="3838" max="3838" width="8.85546875" style="206" customWidth="1"/>
    <col min="3839" max="3840" width="7.140625" style="206" customWidth="1"/>
    <col min="3841" max="3841" width="7.85546875" style="206" customWidth="1"/>
    <col min="3842" max="3842" width="7.140625" style="206" customWidth="1"/>
    <col min="3843" max="3843" width="8.85546875" style="206" customWidth="1"/>
    <col min="3844" max="3846" width="9.7109375" style="206"/>
    <col min="3847" max="3848" width="10.140625" style="206" bestFit="1" customWidth="1"/>
    <col min="3849" max="3851" width="11.140625" style="206" bestFit="1" customWidth="1"/>
    <col min="3852" max="4088" width="9.7109375" style="206"/>
    <col min="4089" max="4089" width="10.5703125" style="206" customWidth="1"/>
    <col min="4090" max="4093" width="7.140625" style="206" customWidth="1"/>
    <col min="4094" max="4094" width="8.85546875" style="206" customWidth="1"/>
    <col min="4095" max="4096" width="7.140625" style="206" customWidth="1"/>
    <col min="4097" max="4097" width="7.85546875" style="206" customWidth="1"/>
    <col min="4098" max="4098" width="7.140625" style="206" customWidth="1"/>
    <col min="4099" max="4099" width="8.85546875" style="206" customWidth="1"/>
    <col min="4100" max="4102" width="9.7109375" style="206"/>
    <col min="4103" max="4104" width="10.140625" style="206" bestFit="1" customWidth="1"/>
    <col min="4105" max="4107" width="11.140625" style="206" bestFit="1" customWidth="1"/>
    <col min="4108" max="4344" width="9.7109375" style="206"/>
    <col min="4345" max="4345" width="10.5703125" style="206" customWidth="1"/>
    <col min="4346" max="4349" width="7.140625" style="206" customWidth="1"/>
    <col min="4350" max="4350" width="8.85546875" style="206" customWidth="1"/>
    <col min="4351" max="4352" width="7.140625" style="206" customWidth="1"/>
    <col min="4353" max="4353" width="7.85546875" style="206" customWidth="1"/>
    <col min="4354" max="4354" width="7.140625" style="206" customWidth="1"/>
    <col min="4355" max="4355" width="8.85546875" style="206" customWidth="1"/>
    <col min="4356" max="4358" width="9.7109375" style="206"/>
    <col min="4359" max="4360" width="10.140625" style="206" bestFit="1" customWidth="1"/>
    <col min="4361" max="4363" width="11.140625" style="206" bestFit="1" customWidth="1"/>
    <col min="4364" max="4600" width="9.7109375" style="206"/>
    <col min="4601" max="4601" width="10.5703125" style="206" customWidth="1"/>
    <col min="4602" max="4605" width="7.140625" style="206" customWidth="1"/>
    <col min="4606" max="4606" width="8.85546875" style="206" customWidth="1"/>
    <col min="4607" max="4608" width="7.140625" style="206" customWidth="1"/>
    <col min="4609" max="4609" width="7.85546875" style="206" customWidth="1"/>
    <col min="4610" max="4610" width="7.140625" style="206" customWidth="1"/>
    <col min="4611" max="4611" width="8.85546875" style="206" customWidth="1"/>
    <col min="4612" max="4614" width="9.7109375" style="206"/>
    <col min="4615" max="4616" width="10.140625" style="206" bestFit="1" customWidth="1"/>
    <col min="4617" max="4619" width="11.140625" style="206" bestFit="1" customWidth="1"/>
    <col min="4620" max="4856" width="9.7109375" style="206"/>
    <col min="4857" max="4857" width="10.5703125" style="206" customWidth="1"/>
    <col min="4858" max="4861" width="7.140625" style="206" customWidth="1"/>
    <col min="4862" max="4862" width="8.85546875" style="206" customWidth="1"/>
    <col min="4863" max="4864" width="7.140625" style="206" customWidth="1"/>
    <col min="4865" max="4865" width="7.85546875" style="206" customWidth="1"/>
    <col min="4866" max="4866" width="7.140625" style="206" customWidth="1"/>
    <col min="4867" max="4867" width="8.85546875" style="206" customWidth="1"/>
    <col min="4868" max="4870" width="9.7109375" style="206"/>
    <col min="4871" max="4872" width="10.140625" style="206" bestFit="1" customWidth="1"/>
    <col min="4873" max="4875" width="11.140625" style="206" bestFit="1" customWidth="1"/>
    <col min="4876" max="5112" width="9.7109375" style="206"/>
    <col min="5113" max="5113" width="10.5703125" style="206" customWidth="1"/>
    <col min="5114" max="5117" width="7.140625" style="206" customWidth="1"/>
    <col min="5118" max="5118" width="8.85546875" style="206" customWidth="1"/>
    <col min="5119" max="5120" width="7.140625" style="206" customWidth="1"/>
    <col min="5121" max="5121" width="7.85546875" style="206" customWidth="1"/>
    <col min="5122" max="5122" width="7.140625" style="206" customWidth="1"/>
    <col min="5123" max="5123" width="8.85546875" style="206" customWidth="1"/>
    <col min="5124" max="5126" width="9.7109375" style="206"/>
    <col min="5127" max="5128" width="10.140625" style="206" bestFit="1" customWidth="1"/>
    <col min="5129" max="5131" width="11.140625" style="206" bestFit="1" customWidth="1"/>
    <col min="5132" max="5368" width="9.7109375" style="206"/>
    <col min="5369" max="5369" width="10.5703125" style="206" customWidth="1"/>
    <col min="5370" max="5373" width="7.140625" style="206" customWidth="1"/>
    <col min="5374" max="5374" width="8.85546875" style="206" customWidth="1"/>
    <col min="5375" max="5376" width="7.140625" style="206" customWidth="1"/>
    <col min="5377" max="5377" width="7.85546875" style="206" customWidth="1"/>
    <col min="5378" max="5378" width="7.140625" style="206" customWidth="1"/>
    <col min="5379" max="5379" width="8.85546875" style="206" customWidth="1"/>
    <col min="5380" max="5382" width="9.7109375" style="206"/>
    <col min="5383" max="5384" width="10.140625" style="206" bestFit="1" customWidth="1"/>
    <col min="5385" max="5387" width="11.140625" style="206" bestFit="1" customWidth="1"/>
    <col min="5388" max="5624" width="9.7109375" style="206"/>
    <col min="5625" max="5625" width="10.5703125" style="206" customWidth="1"/>
    <col min="5626" max="5629" width="7.140625" style="206" customWidth="1"/>
    <col min="5630" max="5630" width="8.85546875" style="206" customWidth="1"/>
    <col min="5631" max="5632" width="7.140625" style="206" customWidth="1"/>
    <col min="5633" max="5633" width="7.85546875" style="206" customWidth="1"/>
    <col min="5634" max="5634" width="7.140625" style="206" customWidth="1"/>
    <col min="5635" max="5635" width="8.85546875" style="206" customWidth="1"/>
    <col min="5636" max="5638" width="9.7109375" style="206"/>
    <col min="5639" max="5640" width="10.140625" style="206" bestFit="1" customWidth="1"/>
    <col min="5641" max="5643" width="11.140625" style="206" bestFit="1" customWidth="1"/>
    <col min="5644" max="5880" width="9.7109375" style="206"/>
    <col min="5881" max="5881" width="10.5703125" style="206" customWidth="1"/>
    <col min="5882" max="5885" width="7.140625" style="206" customWidth="1"/>
    <col min="5886" max="5886" width="8.85546875" style="206" customWidth="1"/>
    <col min="5887" max="5888" width="7.140625" style="206" customWidth="1"/>
    <col min="5889" max="5889" width="7.85546875" style="206" customWidth="1"/>
    <col min="5890" max="5890" width="7.140625" style="206" customWidth="1"/>
    <col min="5891" max="5891" width="8.85546875" style="206" customWidth="1"/>
    <col min="5892" max="5894" width="9.7109375" style="206"/>
    <col min="5895" max="5896" width="10.140625" style="206" bestFit="1" customWidth="1"/>
    <col min="5897" max="5899" width="11.140625" style="206" bestFit="1" customWidth="1"/>
    <col min="5900" max="6136" width="9.7109375" style="206"/>
    <col min="6137" max="6137" width="10.5703125" style="206" customWidth="1"/>
    <col min="6138" max="6141" width="7.140625" style="206" customWidth="1"/>
    <col min="6142" max="6142" width="8.85546875" style="206" customWidth="1"/>
    <col min="6143" max="6144" width="7.140625" style="206" customWidth="1"/>
    <col min="6145" max="6145" width="7.85546875" style="206" customWidth="1"/>
    <col min="6146" max="6146" width="7.140625" style="206" customWidth="1"/>
    <col min="6147" max="6147" width="8.85546875" style="206" customWidth="1"/>
    <col min="6148" max="6150" width="9.7109375" style="206"/>
    <col min="6151" max="6152" width="10.140625" style="206" bestFit="1" customWidth="1"/>
    <col min="6153" max="6155" width="11.140625" style="206" bestFit="1" customWidth="1"/>
    <col min="6156" max="6392" width="9.7109375" style="206"/>
    <col min="6393" max="6393" width="10.5703125" style="206" customWidth="1"/>
    <col min="6394" max="6397" width="7.140625" style="206" customWidth="1"/>
    <col min="6398" max="6398" width="8.85546875" style="206" customWidth="1"/>
    <col min="6399" max="6400" width="7.140625" style="206" customWidth="1"/>
    <col min="6401" max="6401" width="7.85546875" style="206" customWidth="1"/>
    <col min="6402" max="6402" width="7.140625" style="206" customWidth="1"/>
    <col min="6403" max="6403" width="8.85546875" style="206" customWidth="1"/>
    <col min="6404" max="6406" width="9.7109375" style="206"/>
    <col min="6407" max="6408" width="10.140625" style="206" bestFit="1" customWidth="1"/>
    <col min="6409" max="6411" width="11.140625" style="206" bestFit="1" customWidth="1"/>
    <col min="6412" max="6648" width="9.7109375" style="206"/>
    <col min="6649" max="6649" width="10.5703125" style="206" customWidth="1"/>
    <col min="6650" max="6653" width="7.140625" style="206" customWidth="1"/>
    <col min="6654" max="6654" width="8.85546875" style="206" customWidth="1"/>
    <col min="6655" max="6656" width="7.140625" style="206" customWidth="1"/>
    <col min="6657" max="6657" width="7.85546875" style="206" customWidth="1"/>
    <col min="6658" max="6658" width="7.140625" style="206" customWidth="1"/>
    <col min="6659" max="6659" width="8.85546875" style="206" customWidth="1"/>
    <col min="6660" max="6662" width="9.7109375" style="206"/>
    <col min="6663" max="6664" width="10.140625" style="206" bestFit="1" customWidth="1"/>
    <col min="6665" max="6667" width="11.140625" style="206" bestFit="1" customWidth="1"/>
    <col min="6668" max="6904" width="9.7109375" style="206"/>
    <col min="6905" max="6905" width="10.5703125" style="206" customWidth="1"/>
    <col min="6906" max="6909" width="7.140625" style="206" customWidth="1"/>
    <col min="6910" max="6910" width="8.85546875" style="206" customWidth="1"/>
    <col min="6911" max="6912" width="7.140625" style="206" customWidth="1"/>
    <col min="6913" max="6913" width="7.85546875" style="206" customWidth="1"/>
    <col min="6914" max="6914" width="7.140625" style="206" customWidth="1"/>
    <col min="6915" max="6915" width="8.85546875" style="206" customWidth="1"/>
    <col min="6916" max="6918" width="9.7109375" style="206"/>
    <col min="6919" max="6920" width="10.140625" style="206" bestFit="1" customWidth="1"/>
    <col min="6921" max="6923" width="11.140625" style="206" bestFit="1" customWidth="1"/>
    <col min="6924" max="7160" width="9.7109375" style="206"/>
    <col min="7161" max="7161" width="10.5703125" style="206" customWidth="1"/>
    <col min="7162" max="7165" width="7.140625" style="206" customWidth="1"/>
    <col min="7166" max="7166" width="8.85546875" style="206" customWidth="1"/>
    <col min="7167" max="7168" width="7.140625" style="206" customWidth="1"/>
    <col min="7169" max="7169" width="7.85546875" style="206" customWidth="1"/>
    <col min="7170" max="7170" width="7.140625" style="206" customWidth="1"/>
    <col min="7171" max="7171" width="8.85546875" style="206" customWidth="1"/>
    <col min="7172" max="7174" width="9.7109375" style="206"/>
    <col min="7175" max="7176" width="10.140625" style="206" bestFit="1" customWidth="1"/>
    <col min="7177" max="7179" width="11.140625" style="206" bestFit="1" customWidth="1"/>
    <col min="7180" max="7416" width="9.7109375" style="206"/>
    <col min="7417" max="7417" width="10.5703125" style="206" customWidth="1"/>
    <col min="7418" max="7421" width="7.140625" style="206" customWidth="1"/>
    <col min="7422" max="7422" width="8.85546875" style="206" customWidth="1"/>
    <col min="7423" max="7424" width="7.140625" style="206" customWidth="1"/>
    <col min="7425" max="7425" width="7.85546875" style="206" customWidth="1"/>
    <col min="7426" max="7426" width="7.140625" style="206" customWidth="1"/>
    <col min="7427" max="7427" width="8.85546875" style="206" customWidth="1"/>
    <col min="7428" max="7430" width="9.7109375" style="206"/>
    <col min="7431" max="7432" width="10.140625" style="206" bestFit="1" customWidth="1"/>
    <col min="7433" max="7435" width="11.140625" style="206" bestFit="1" customWidth="1"/>
    <col min="7436" max="7672" width="9.7109375" style="206"/>
    <col min="7673" max="7673" width="10.5703125" style="206" customWidth="1"/>
    <col min="7674" max="7677" width="7.140625" style="206" customWidth="1"/>
    <col min="7678" max="7678" width="8.85546875" style="206" customWidth="1"/>
    <col min="7679" max="7680" width="7.140625" style="206" customWidth="1"/>
    <col min="7681" max="7681" width="7.85546875" style="206" customWidth="1"/>
    <col min="7682" max="7682" width="7.140625" style="206" customWidth="1"/>
    <col min="7683" max="7683" width="8.85546875" style="206" customWidth="1"/>
    <col min="7684" max="7686" width="9.7109375" style="206"/>
    <col min="7687" max="7688" width="10.140625" style="206" bestFit="1" customWidth="1"/>
    <col min="7689" max="7691" width="11.140625" style="206" bestFit="1" customWidth="1"/>
    <col min="7692" max="7928" width="9.7109375" style="206"/>
    <col min="7929" max="7929" width="10.5703125" style="206" customWidth="1"/>
    <col min="7930" max="7933" width="7.140625" style="206" customWidth="1"/>
    <col min="7934" max="7934" width="8.85546875" style="206" customWidth="1"/>
    <col min="7935" max="7936" width="7.140625" style="206" customWidth="1"/>
    <col min="7937" max="7937" width="7.85546875" style="206" customWidth="1"/>
    <col min="7938" max="7938" width="7.140625" style="206" customWidth="1"/>
    <col min="7939" max="7939" width="8.85546875" style="206" customWidth="1"/>
    <col min="7940" max="7942" width="9.7109375" style="206"/>
    <col min="7943" max="7944" width="10.140625" style="206" bestFit="1" customWidth="1"/>
    <col min="7945" max="7947" width="11.140625" style="206" bestFit="1" customWidth="1"/>
    <col min="7948" max="8184" width="9.7109375" style="206"/>
    <col min="8185" max="8185" width="10.5703125" style="206" customWidth="1"/>
    <col min="8186" max="8189" width="7.140625" style="206" customWidth="1"/>
    <col min="8190" max="8190" width="8.85546875" style="206" customWidth="1"/>
    <col min="8191" max="8192" width="7.140625" style="206" customWidth="1"/>
    <col min="8193" max="8193" width="7.85546875" style="206" customWidth="1"/>
    <col min="8194" max="8194" width="7.140625" style="206" customWidth="1"/>
    <col min="8195" max="8195" width="8.85546875" style="206" customWidth="1"/>
    <col min="8196" max="8198" width="9.7109375" style="206"/>
    <col min="8199" max="8200" width="10.140625" style="206" bestFit="1" customWidth="1"/>
    <col min="8201" max="8203" width="11.140625" style="206" bestFit="1" customWidth="1"/>
    <col min="8204" max="8440" width="9.7109375" style="206"/>
    <col min="8441" max="8441" width="10.5703125" style="206" customWidth="1"/>
    <col min="8442" max="8445" width="7.140625" style="206" customWidth="1"/>
    <col min="8446" max="8446" width="8.85546875" style="206" customWidth="1"/>
    <col min="8447" max="8448" width="7.140625" style="206" customWidth="1"/>
    <col min="8449" max="8449" width="7.85546875" style="206" customWidth="1"/>
    <col min="8450" max="8450" width="7.140625" style="206" customWidth="1"/>
    <col min="8451" max="8451" width="8.85546875" style="206" customWidth="1"/>
    <col min="8452" max="8454" width="9.7109375" style="206"/>
    <col min="8455" max="8456" width="10.140625" style="206" bestFit="1" customWidth="1"/>
    <col min="8457" max="8459" width="11.140625" style="206" bestFit="1" customWidth="1"/>
    <col min="8460" max="8696" width="9.7109375" style="206"/>
    <col min="8697" max="8697" width="10.5703125" style="206" customWidth="1"/>
    <col min="8698" max="8701" width="7.140625" style="206" customWidth="1"/>
    <col min="8702" max="8702" width="8.85546875" style="206" customWidth="1"/>
    <col min="8703" max="8704" width="7.140625" style="206" customWidth="1"/>
    <col min="8705" max="8705" width="7.85546875" style="206" customWidth="1"/>
    <col min="8706" max="8706" width="7.140625" style="206" customWidth="1"/>
    <col min="8707" max="8707" width="8.85546875" style="206" customWidth="1"/>
    <col min="8708" max="8710" width="9.7109375" style="206"/>
    <col min="8711" max="8712" width="10.140625" style="206" bestFit="1" customWidth="1"/>
    <col min="8713" max="8715" width="11.140625" style="206" bestFit="1" customWidth="1"/>
    <col min="8716" max="8952" width="9.7109375" style="206"/>
    <col min="8953" max="8953" width="10.5703125" style="206" customWidth="1"/>
    <col min="8954" max="8957" width="7.140625" style="206" customWidth="1"/>
    <col min="8958" max="8958" width="8.85546875" style="206" customWidth="1"/>
    <col min="8959" max="8960" width="7.140625" style="206" customWidth="1"/>
    <col min="8961" max="8961" width="7.85546875" style="206" customWidth="1"/>
    <col min="8962" max="8962" width="7.140625" style="206" customWidth="1"/>
    <col min="8963" max="8963" width="8.85546875" style="206" customWidth="1"/>
    <col min="8964" max="8966" width="9.7109375" style="206"/>
    <col min="8967" max="8968" width="10.140625" style="206" bestFit="1" customWidth="1"/>
    <col min="8969" max="8971" width="11.140625" style="206" bestFit="1" customWidth="1"/>
    <col min="8972" max="9208" width="9.7109375" style="206"/>
    <col min="9209" max="9209" width="10.5703125" style="206" customWidth="1"/>
    <col min="9210" max="9213" width="7.140625" style="206" customWidth="1"/>
    <col min="9214" max="9214" width="8.85546875" style="206" customWidth="1"/>
    <col min="9215" max="9216" width="7.140625" style="206" customWidth="1"/>
    <col min="9217" max="9217" width="7.85546875" style="206" customWidth="1"/>
    <col min="9218" max="9218" width="7.140625" style="206" customWidth="1"/>
    <col min="9219" max="9219" width="8.85546875" style="206" customWidth="1"/>
    <col min="9220" max="9222" width="9.7109375" style="206"/>
    <col min="9223" max="9224" width="10.140625" style="206" bestFit="1" customWidth="1"/>
    <col min="9225" max="9227" width="11.140625" style="206" bestFit="1" customWidth="1"/>
    <col min="9228" max="9464" width="9.7109375" style="206"/>
    <col min="9465" max="9465" width="10.5703125" style="206" customWidth="1"/>
    <col min="9466" max="9469" width="7.140625" style="206" customWidth="1"/>
    <col min="9470" max="9470" width="8.85546875" style="206" customWidth="1"/>
    <col min="9471" max="9472" width="7.140625" style="206" customWidth="1"/>
    <col min="9473" max="9473" width="7.85546875" style="206" customWidth="1"/>
    <col min="9474" max="9474" width="7.140625" style="206" customWidth="1"/>
    <col min="9475" max="9475" width="8.85546875" style="206" customWidth="1"/>
    <col min="9476" max="9478" width="9.7109375" style="206"/>
    <col min="9479" max="9480" width="10.140625" style="206" bestFit="1" customWidth="1"/>
    <col min="9481" max="9483" width="11.140625" style="206" bestFit="1" customWidth="1"/>
    <col min="9484" max="9720" width="9.7109375" style="206"/>
    <col min="9721" max="9721" width="10.5703125" style="206" customWidth="1"/>
    <col min="9722" max="9725" width="7.140625" style="206" customWidth="1"/>
    <col min="9726" max="9726" width="8.85546875" style="206" customWidth="1"/>
    <col min="9727" max="9728" width="7.140625" style="206" customWidth="1"/>
    <col min="9729" max="9729" width="7.85546875" style="206" customWidth="1"/>
    <col min="9730" max="9730" width="7.140625" style="206" customWidth="1"/>
    <col min="9731" max="9731" width="8.85546875" style="206" customWidth="1"/>
    <col min="9732" max="9734" width="9.7109375" style="206"/>
    <col min="9735" max="9736" width="10.140625" style="206" bestFit="1" customWidth="1"/>
    <col min="9737" max="9739" width="11.140625" style="206" bestFit="1" customWidth="1"/>
    <col min="9740" max="9976" width="9.7109375" style="206"/>
    <col min="9977" max="9977" width="10.5703125" style="206" customWidth="1"/>
    <col min="9978" max="9981" width="7.140625" style="206" customWidth="1"/>
    <col min="9982" max="9982" width="8.85546875" style="206" customWidth="1"/>
    <col min="9983" max="9984" width="7.140625" style="206" customWidth="1"/>
    <col min="9985" max="9985" width="7.85546875" style="206" customWidth="1"/>
    <col min="9986" max="9986" width="7.140625" style="206" customWidth="1"/>
    <col min="9987" max="9987" width="8.85546875" style="206" customWidth="1"/>
    <col min="9988" max="9990" width="9.7109375" style="206"/>
    <col min="9991" max="9992" width="10.140625" style="206" bestFit="1" customWidth="1"/>
    <col min="9993" max="9995" width="11.140625" style="206" bestFit="1" customWidth="1"/>
    <col min="9996" max="10232" width="9.7109375" style="206"/>
    <col min="10233" max="10233" width="10.5703125" style="206" customWidth="1"/>
    <col min="10234" max="10237" width="7.140625" style="206" customWidth="1"/>
    <col min="10238" max="10238" width="8.85546875" style="206" customWidth="1"/>
    <col min="10239" max="10240" width="7.140625" style="206" customWidth="1"/>
    <col min="10241" max="10241" width="7.85546875" style="206" customWidth="1"/>
    <col min="10242" max="10242" width="7.140625" style="206" customWidth="1"/>
    <col min="10243" max="10243" width="8.85546875" style="206" customWidth="1"/>
    <col min="10244" max="10246" width="9.7109375" style="206"/>
    <col min="10247" max="10248" width="10.140625" style="206" bestFit="1" customWidth="1"/>
    <col min="10249" max="10251" width="11.140625" style="206" bestFit="1" customWidth="1"/>
    <col min="10252" max="10488" width="9.7109375" style="206"/>
    <col min="10489" max="10489" width="10.5703125" style="206" customWidth="1"/>
    <col min="10490" max="10493" width="7.140625" style="206" customWidth="1"/>
    <col min="10494" max="10494" width="8.85546875" style="206" customWidth="1"/>
    <col min="10495" max="10496" width="7.140625" style="206" customWidth="1"/>
    <col min="10497" max="10497" width="7.85546875" style="206" customWidth="1"/>
    <col min="10498" max="10498" width="7.140625" style="206" customWidth="1"/>
    <col min="10499" max="10499" width="8.85546875" style="206" customWidth="1"/>
    <col min="10500" max="10502" width="9.7109375" style="206"/>
    <col min="10503" max="10504" width="10.140625" style="206" bestFit="1" customWidth="1"/>
    <col min="10505" max="10507" width="11.140625" style="206" bestFit="1" customWidth="1"/>
    <col min="10508" max="10744" width="9.7109375" style="206"/>
    <col min="10745" max="10745" width="10.5703125" style="206" customWidth="1"/>
    <col min="10746" max="10749" width="7.140625" style="206" customWidth="1"/>
    <col min="10750" max="10750" width="8.85546875" style="206" customWidth="1"/>
    <col min="10751" max="10752" width="7.140625" style="206" customWidth="1"/>
    <col min="10753" max="10753" width="7.85546875" style="206" customWidth="1"/>
    <col min="10754" max="10754" width="7.140625" style="206" customWidth="1"/>
    <col min="10755" max="10755" width="8.85546875" style="206" customWidth="1"/>
    <col min="10756" max="10758" width="9.7109375" style="206"/>
    <col min="10759" max="10760" width="10.140625" style="206" bestFit="1" customWidth="1"/>
    <col min="10761" max="10763" width="11.140625" style="206" bestFit="1" customWidth="1"/>
    <col min="10764" max="11000" width="9.7109375" style="206"/>
    <col min="11001" max="11001" width="10.5703125" style="206" customWidth="1"/>
    <col min="11002" max="11005" width="7.140625" style="206" customWidth="1"/>
    <col min="11006" max="11006" width="8.85546875" style="206" customWidth="1"/>
    <col min="11007" max="11008" width="7.140625" style="206" customWidth="1"/>
    <col min="11009" max="11009" width="7.85546875" style="206" customWidth="1"/>
    <col min="11010" max="11010" width="7.140625" style="206" customWidth="1"/>
    <col min="11011" max="11011" width="8.85546875" style="206" customWidth="1"/>
    <col min="11012" max="11014" width="9.7109375" style="206"/>
    <col min="11015" max="11016" width="10.140625" style="206" bestFit="1" customWidth="1"/>
    <col min="11017" max="11019" width="11.140625" style="206" bestFit="1" customWidth="1"/>
    <col min="11020" max="11256" width="9.7109375" style="206"/>
    <col min="11257" max="11257" width="10.5703125" style="206" customWidth="1"/>
    <col min="11258" max="11261" width="7.140625" style="206" customWidth="1"/>
    <col min="11262" max="11262" width="8.85546875" style="206" customWidth="1"/>
    <col min="11263" max="11264" width="7.140625" style="206" customWidth="1"/>
    <col min="11265" max="11265" width="7.85546875" style="206" customWidth="1"/>
    <col min="11266" max="11266" width="7.140625" style="206" customWidth="1"/>
    <col min="11267" max="11267" width="8.85546875" style="206" customWidth="1"/>
    <col min="11268" max="11270" width="9.7109375" style="206"/>
    <col min="11271" max="11272" width="10.140625" style="206" bestFit="1" customWidth="1"/>
    <col min="11273" max="11275" width="11.140625" style="206" bestFit="1" customWidth="1"/>
    <col min="11276" max="11512" width="9.7109375" style="206"/>
    <col min="11513" max="11513" width="10.5703125" style="206" customWidth="1"/>
    <col min="11514" max="11517" width="7.140625" style="206" customWidth="1"/>
    <col min="11518" max="11518" width="8.85546875" style="206" customWidth="1"/>
    <col min="11519" max="11520" width="7.140625" style="206" customWidth="1"/>
    <col min="11521" max="11521" width="7.85546875" style="206" customWidth="1"/>
    <col min="11522" max="11522" width="7.140625" style="206" customWidth="1"/>
    <col min="11523" max="11523" width="8.85546875" style="206" customWidth="1"/>
    <col min="11524" max="11526" width="9.7109375" style="206"/>
    <col min="11527" max="11528" width="10.140625" style="206" bestFit="1" customWidth="1"/>
    <col min="11529" max="11531" width="11.140625" style="206" bestFit="1" customWidth="1"/>
    <col min="11532" max="11768" width="9.7109375" style="206"/>
    <col min="11769" max="11769" width="10.5703125" style="206" customWidth="1"/>
    <col min="11770" max="11773" width="7.140625" style="206" customWidth="1"/>
    <col min="11774" max="11774" width="8.85546875" style="206" customWidth="1"/>
    <col min="11775" max="11776" width="7.140625" style="206" customWidth="1"/>
    <col min="11777" max="11777" width="7.85546875" style="206" customWidth="1"/>
    <col min="11778" max="11778" width="7.140625" style="206" customWidth="1"/>
    <col min="11779" max="11779" width="8.85546875" style="206" customWidth="1"/>
    <col min="11780" max="11782" width="9.7109375" style="206"/>
    <col min="11783" max="11784" width="10.140625" style="206" bestFit="1" customWidth="1"/>
    <col min="11785" max="11787" width="11.140625" style="206" bestFit="1" customWidth="1"/>
    <col min="11788" max="12024" width="9.7109375" style="206"/>
    <col min="12025" max="12025" width="10.5703125" style="206" customWidth="1"/>
    <col min="12026" max="12029" width="7.140625" style="206" customWidth="1"/>
    <col min="12030" max="12030" width="8.85546875" style="206" customWidth="1"/>
    <col min="12031" max="12032" width="7.140625" style="206" customWidth="1"/>
    <col min="12033" max="12033" width="7.85546875" style="206" customWidth="1"/>
    <col min="12034" max="12034" width="7.140625" style="206" customWidth="1"/>
    <col min="12035" max="12035" width="8.85546875" style="206" customWidth="1"/>
    <col min="12036" max="12038" width="9.7109375" style="206"/>
    <col min="12039" max="12040" width="10.140625" style="206" bestFit="1" customWidth="1"/>
    <col min="12041" max="12043" width="11.140625" style="206" bestFit="1" customWidth="1"/>
    <col min="12044" max="12280" width="9.7109375" style="206"/>
    <col min="12281" max="12281" width="10.5703125" style="206" customWidth="1"/>
    <col min="12282" max="12285" width="7.140625" style="206" customWidth="1"/>
    <col min="12286" max="12286" width="8.85546875" style="206" customWidth="1"/>
    <col min="12287" max="12288" width="7.140625" style="206" customWidth="1"/>
    <col min="12289" max="12289" width="7.85546875" style="206" customWidth="1"/>
    <col min="12290" max="12290" width="7.140625" style="206" customWidth="1"/>
    <col min="12291" max="12291" width="8.85546875" style="206" customWidth="1"/>
    <col min="12292" max="12294" width="9.7109375" style="206"/>
    <col min="12295" max="12296" width="10.140625" style="206" bestFit="1" customWidth="1"/>
    <col min="12297" max="12299" width="11.140625" style="206" bestFit="1" customWidth="1"/>
    <col min="12300" max="12536" width="9.7109375" style="206"/>
    <col min="12537" max="12537" width="10.5703125" style="206" customWidth="1"/>
    <col min="12538" max="12541" width="7.140625" style="206" customWidth="1"/>
    <col min="12542" max="12542" width="8.85546875" style="206" customWidth="1"/>
    <col min="12543" max="12544" width="7.140625" style="206" customWidth="1"/>
    <col min="12545" max="12545" width="7.85546875" style="206" customWidth="1"/>
    <col min="12546" max="12546" width="7.140625" style="206" customWidth="1"/>
    <col min="12547" max="12547" width="8.85546875" style="206" customWidth="1"/>
    <col min="12548" max="12550" width="9.7109375" style="206"/>
    <col min="12551" max="12552" width="10.140625" style="206" bestFit="1" customWidth="1"/>
    <col min="12553" max="12555" width="11.140625" style="206" bestFit="1" customWidth="1"/>
    <col min="12556" max="12792" width="9.7109375" style="206"/>
    <col min="12793" max="12793" width="10.5703125" style="206" customWidth="1"/>
    <col min="12794" max="12797" width="7.140625" style="206" customWidth="1"/>
    <col min="12798" max="12798" width="8.85546875" style="206" customWidth="1"/>
    <col min="12799" max="12800" width="7.140625" style="206" customWidth="1"/>
    <col min="12801" max="12801" width="7.85546875" style="206" customWidth="1"/>
    <col min="12802" max="12802" width="7.140625" style="206" customWidth="1"/>
    <col min="12803" max="12803" width="8.85546875" style="206" customWidth="1"/>
    <col min="12804" max="12806" width="9.7109375" style="206"/>
    <col min="12807" max="12808" width="10.140625" style="206" bestFit="1" customWidth="1"/>
    <col min="12809" max="12811" width="11.140625" style="206" bestFit="1" customWidth="1"/>
    <col min="12812" max="13048" width="9.7109375" style="206"/>
    <col min="13049" max="13049" width="10.5703125" style="206" customWidth="1"/>
    <col min="13050" max="13053" width="7.140625" style="206" customWidth="1"/>
    <col min="13054" max="13054" width="8.85546875" style="206" customWidth="1"/>
    <col min="13055" max="13056" width="7.140625" style="206" customWidth="1"/>
    <col min="13057" max="13057" width="7.85546875" style="206" customWidth="1"/>
    <col min="13058" max="13058" width="7.140625" style="206" customWidth="1"/>
    <col min="13059" max="13059" width="8.85546875" style="206" customWidth="1"/>
    <col min="13060" max="13062" width="9.7109375" style="206"/>
    <col min="13063" max="13064" width="10.140625" style="206" bestFit="1" customWidth="1"/>
    <col min="13065" max="13067" width="11.140625" style="206" bestFit="1" customWidth="1"/>
    <col min="13068" max="13304" width="9.7109375" style="206"/>
    <col min="13305" max="13305" width="10.5703125" style="206" customWidth="1"/>
    <col min="13306" max="13309" width="7.140625" style="206" customWidth="1"/>
    <col min="13310" max="13310" width="8.85546875" style="206" customWidth="1"/>
    <col min="13311" max="13312" width="7.140625" style="206" customWidth="1"/>
    <col min="13313" max="13313" width="7.85546875" style="206" customWidth="1"/>
    <col min="13314" max="13314" width="7.140625" style="206" customWidth="1"/>
    <col min="13315" max="13315" width="8.85546875" style="206" customWidth="1"/>
    <col min="13316" max="13318" width="9.7109375" style="206"/>
    <col min="13319" max="13320" width="10.140625" style="206" bestFit="1" customWidth="1"/>
    <col min="13321" max="13323" width="11.140625" style="206" bestFit="1" customWidth="1"/>
    <col min="13324" max="13560" width="9.7109375" style="206"/>
    <col min="13561" max="13561" width="10.5703125" style="206" customWidth="1"/>
    <col min="13562" max="13565" width="7.140625" style="206" customWidth="1"/>
    <col min="13566" max="13566" width="8.85546875" style="206" customWidth="1"/>
    <col min="13567" max="13568" width="7.140625" style="206" customWidth="1"/>
    <col min="13569" max="13569" width="7.85546875" style="206" customWidth="1"/>
    <col min="13570" max="13570" width="7.140625" style="206" customWidth="1"/>
    <col min="13571" max="13571" width="8.85546875" style="206" customWidth="1"/>
    <col min="13572" max="13574" width="9.7109375" style="206"/>
    <col min="13575" max="13576" width="10.140625" style="206" bestFit="1" customWidth="1"/>
    <col min="13577" max="13579" width="11.140625" style="206" bestFit="1" customWidth="1"/>
    <col min="13580" max="13816" width="9.7109375" style="206"/>
    <col min="13817" max="13817" width="10.5703125" style="206" customWidth="1"/>
    <col min="13818" max="13821" width="7.140625" style="206" customWidth="1"/>
    <col min="13822" max="13822" width="8.85546875" style="206" customWidth="1"/>
    <col min="13823" max="13824" width="7.140625" style="206" customWidth="1"/>
    <col min="13825" max="13825" width="7.85546875" style="206" customWidth="1"/>
    <col min="13826" max="13826" width="7.140625" style="206" customWidth="1"/>
    <col min="13827" max="13827" width="8.85546875" style="206" customWidth="1"/>
    <col min="13828" max="13830" width="9.7109375" style="206"/>
    <col min="13831" max="13832" width="10.140625" style="206" bestFit="1" customWidth="1"/>
    <col min="13833" max="13835" width="11.140625" style="206" bestFit="1" customWidth="1"/>
    <col min="13836" max="14072" width="9.7109375" style="206"/>
    <col min="14073" max="14073" width="10.5703125" style="206" customWidth="1"/>
    <col min="14074" max="14077" width="7.140625" style="206" customWidth="1"/>
    <col min="14078" max="14078" width="8.85546875" style="206" customWidth="1"/>
    <col min="14079" max="14080" width="7.140625" style="206" customWidth="1"/>
    <col min="14081" max="14081" width="7.85546875" style="206" customWidth="1"/>
    <col min="14082" max="14082" width="7.140625" style="206" customWidth="1"/>
    <col min="14083" max="14083" width="8.85546875" style="206" customWidth="1"/>
    <col min="14084" max="14086" width="9.7109375" style="206"/>
    <col min="14087" max="14088" width="10.140625" style="206" bestFit="1" customWidth="1"/>
    <col min="14089" max="14091" width="11.140625" style="206" bestFit="1" customWidth="1"/>
    <col min="14092" max="14328" width="9.7109375" style="206"/>
    <col min="14329" max="14329" width="10.5703125" style="206" customWidth="1"/>
    <col min="14330" max="14333" width="7.140625" style="206" customWidth="1"/>
    <col min="14334" max="14334" width="8.85546875" style="206" customWidth="1"/>
    <col min="14335" max="14336" width="7.140625" style="206" customWidth="1"/>
    <col min="14337" max="14337" width="7.85546875" style="206" customWidth="1"/>
    <col min="14338" max="14338" width="7.140625" style="206" customWidth="1"/>
    <col min="14339" max="14339" width="8.85546875" style="206" customWidth="1"/>
    <col min="14340" max="14342" width="9.7109375" style="206"/>
    <col min="14343" max="14344" width="10.140625" style="206" bestFit="1" customWidth="1"/>
    <col min="14345" max="14347" width="11.140625" style="206" bestFit="1" customWidth="1"/>
    <col min="14348" max="14584" width="9.7109375" style="206"/>
    <col min="14585" max="14585" width="10.5703125" style="206" customWidth="1"/>
    <col min="14586" max="14589" width="7.140625" style="206" customWidth="1"/>
    <col min="14590" max="14590" width="8.85546875" style="206" customWidth="1"/>
    <col min="14591" max="14592" width="7.140625" style="206" customWidth="1"/>
    <col min="14593" max="14593" width="7.85546875" style="206" customWidth="1"/>
    <col min="14594" max="14594" width="7.140625" style="206" customWidth="1"/>
    <col min="14595" max="14595" width="8.85546875" style="206" customWidth="1"/>
    <col min="14596" max="14598" width="9.7109375" style="206"/>
    <col min="14599" max="14600" width="10.140625" style="206" bestFit="1" customWidth="1"/>
    <col min="14601" max="14603" width="11.140625" style="206" bestFit="1" customWidth="1"/>
    <col min="14604" max="14840" width="9.7109375" style="206"/>
    <col min="14841" max="14841" width="10.5703125" style="206" customWidth="1"/>
    <col min="14842" max="14845" width="7.140625" style="206" customWidth="1"/>
    <col min="14846" max="14846" width="8.85546875" style="206" customWidth="1"/>
    <col min="14847" max="14848" width="7.140625" style="206" customWidth="1"/>
    <col min="14849" max="14849" width="7.85546875" style="206" customWidth="1"/>
    <col min="14850" max="14850" width="7.140625" style="206" customWidth="1"/>
    <col min="14851" max="14851" width="8.85546875" style="206" customWidth="1"/>
    <col min="14852" max="14854" width="9.7109375" style="206"/>
    <col min="14855" max="14856" width="10.140625" style="206" bestFit="1" customWidth="1"/>
    <col min="14857" max="14859" width="11.140625" style="206" bestFit="1" customWidth="1"/>
    <col min="14860" max="15096" width="9.7109375" style="206"/>
    <col min="15097" max="15097" width="10.5703125" style="206" customWidth="1"/>
    <col min="15098" max="15101" width="7.140625" style="206" customWidth="1"/>
    <col min="15102" max="15102" width="8.85546875" style="206" customWidth="1"/>
    <col min="15103" max="15104" width="7.140625" style="206" customWidth="1"/>
    <col min="15105" max="15105" width="7.85546875" style="206" customWidth="1"/>
    <col min="15106" max="15106" width="7.140625" style="206" customWidth="1"/>
    <col min="15107" max="15107" width="8.85546875" style="206" customWidth="1"/>
    <col min="15108" max="15110" width="9.7109375" style="206"/>
    <col min="15111" max="15112" width="10.140625" style="206" bestFit="1" customWidth="1"/>
    <col min="15113" max="15115" width="11.140625" style="206" bestFit="1" customWidth="1"/>
    <col min="15116" max="15352" width="9.7109375" style="206"/>
    <col min="15353" max="15353" width="10.5703125" style="206" customWidth="1"/>
    <col min="15354" max="15357" width="7.140625" style="206" customWidth="1"/>
    <col min="15358" max="15358" width="8.85546875" style="206" customWidth="1"/>
    <col min="15359" max="15360" width="7.140625" style="206" customWidth="1"/>
    <col min="15361" max="15361" width="7.85546875" style="206" customWidth="1"/>
    <col min="15362" max="15362" width="7.140625" style="206" customWidth="1"/>
    <col min="15363" max="15363" width="8.85546875" style="206" customWidth="1"/>
    <col min="15364" max="15366" width="9.7109375" style="206"/>
    <col min="15367" max="15368" width="10.140625" style="206" bestFit="1" customWidth="1"/>
    <col min="15369" max="15371" width="11.140625" style="206" bestFit="1" customWidth="1"/>
    <col min="15372" max="15608" width="9.7109375" style="206"/>
    <col min="15609" max="15609" width="10.5703125" style="206" customWidth="1"/>
    <col min="15610" max="15613" width="7.140625" style="206" customWidth="1"/>
    <col min="15614" max="15614" width="8.85546875" style="206" customWidth="1"/>
    <col min="15615" max="15616" width="7.140625" style="206" customWidth="1"/>
    <col min="15617" max="15617" width="7.85546875" style="206" customWidth="1"/>
    <col min="15618" max="15618" width="7.140625" style="206" customWidth="1"/>
    <col min="15619" max="15619" width="8.85546875" style="206" customWidth="1"/>
    <col min="15620" max="15622" width="9.7109375" style="206"/>
    <col min="15623" max="15624" width="10.140625" style="206" bestFit="1" customWidth="1"/>
    <col min="15625" max="15627" width="11.140625" style="206" bestFit="1" customWidth="1"/>
    <col min="15628" max="15864" width="9.7109375" style="206"/>
    <col min="15865" max="15865" width="10.5703125" style="206" customWidth="1"/>
    <col min="15866" max="15869" width="7.140625" style="206" customWidth="1"/>
    <col min="15870" max="15870" width="8.85546875" style="206" customWidth="1"/>
    <col min="15871" max="15872" width="7.140625" style="206" customWidth="1"/>
    <col min="15873" max="15873" width="7.85546875" style="206" customWidth="1"/>
    <col min="15874" max="15874" width="7.140625" style="206" customWidth="1"/>
    <col min="15875" max="15875" width="8.85546875" style="206" customWidth="1"/>
    <col min="15876" max="15878" width="9.7109375" style="206"/>
    <col min="15879" max="15880" width="10.140625" style="206" bestFit="1" customWidth="1"/>
    <col min="15881" max="15883" width="11.140625" style="206" bestFit="1" customWidth="1"/>
    <col min="15884" max="16120" width="9.7109375" style="206"/>
    <col min="16121" max="16121" width="10.5703125" style="206" customWidth="1"/>
    <col min="16122" max="16125" width="7.140625" style="206" customWidth="1"/>
    <col min="16126" max="16126" width="8.85546875" style="206" customWidth="1"/>
    <col min="16127" max="16128" width="7.140625" style="206" customWidth="1"/>
    <col min="16129" max="16129" width="7.85546875" style="206" customWidth="1"/>
    <col min="16130" max="16130" width="7.140625" style="206" customWidth="1"/>
    <col min="16131" max="16131" width="8.85546875" style="206" customWidth="1"/>
    <col min="16132" max="16134" width="9.7109375" style="206"/>
    <col min="16135" max="16136" width="10.140625" style="206" bestFit="1" customWidth="1"/>
    <col min="16137" max="16139" width="11.140625" style="206" bestFit="1" customWidth="1"/>
    <col min="16140" max="16384" width="9.7109375" style="206"/>
  </cols>
  <sheetData>
    <row r="2" spans="1:13" s="474" customFormat="1" ht="15.75">
      <c r="A2" s="204" t="s">
        <v>215</v>
      </c>
    </row>
    <row r="3" spans="1:13" s="256" customFormat="1" ht="23.1" customHeight="1">
      <c r="B3" s="475"/>
      <c r="C3" s="476"/>
      <c r="D3" s="476"/>
      <c r="E3" s="475"/>
      <c r="F3" s="476"/>
      <c r="G3" s="476"/>
      <c r="H3" s="476"/>
      <c r="I3" s="476"/>
      <c r="J3" s="476"/>
      <c r="M3" s="477"/>
    </row>
    <row r="4" spans="1:13" s="256" customFormat="1" ht="17.100000000000001" customHeight="1">
      <c r="A4" s="478" t="s">
        <v>216</v>
      </c>
      <c r="B4" s="478" t="s">
        <v>217</v>
      </c>
      <c r="C4" s="478" t="s">
        <v>218</v>
      </c>
      <c r="D4" s="478" t="s">
        <v>219</v>
      </c>
      <c r="E4" s="478" t="s">
        <v>220</v>
      </c>
      <c r="F4" s="478" t="s">
        <v>221</v>
      </c>
      <c r="G4" s="478" t="s">
        <v>222</v>
      </c>
      <c r="H4" s="478" t="s">
        <v>223</v>
      </c>
      <c r="I4" s="478" t="s">
        <v>224</v>
      </c>
      <c r="J4" s="478" t="s">
        <v>225</v>
      </c>
      <c r="K4" s="478" t="s">
        <v>24</v>
      </c>
      <c r="M4" s="477"/>
    </row>
    <row r="5" spans="1:13" ht="12.75" customHeight="1">
      <c r="A5" s="234" t="s">
        <v>226</v>
      </c>
      <c r="B5" s="236">
        <v>205</v>
      </c>
      <c r="C5" s="236">
        <v>699</v>
      </c>
      <c r="D5" s="236">
        <v>703</v>
      </c>
      <c r="E5" s="236">
        <v>827</v>
      </c>
      <c r="F5" s="236">
        <v>369</v>
      </c>
      <c r="G5" s="236">
        <v>1097</v>
      </c>
      <c r="H5" s="236">
        <v>2435</v>
      </c>
      <c r="I5" s="236">
        <v>67</v>
      </c>
      <c r="J5" s="236">
        <v>12</v>
      </c>
      <c r="K5" s="237">
        <f>SUM(B5:J5)</f>
        <v>6414</v>
      </c>
    </row>
    <row r="6" spans="1:13" ht="12.75" hidden="1" customHeight="1">
      <c r="A6" s="234" t="s">
        <v>227</v>
      </c>
      <c r="B6" s="236">
        <v>198</v>
      </c>
      <c r="C6" s="236">
        <v>650</v>
      </c>
      <c r="D6" s="236">
        <v>638</v>
      </c>
      <c r="E6" s="236">
        <v>788</v>
      </c>
      <c r="F6" s="236">
        <v>348</v>
      </c>
      <c r="G6" s="236">
        <v>1067</v>
      </c>
      <c r="H6" s="236">
        <v>2329</v>
      </c>
      <c r="I6" s="236">
        <v>63</v>
      </c>
      <c r="J6" s="236">
        <v>12</v>
      </c>
      <c r="K6" s="237">
        <f>SUM(B6:J6)</f>
        <v>6093</v>
      </c>
    </row>
    <row r="7" spans="1:13" ht="12.75" hidden="1" customHeight="1">
      <c r="A7" s="234" t="s">
        <v>228</v>
      </c>
      <c r="B7" s="236">
        <v>183</v>
      </c>
      <c r="C7" s="236">
        <v>611</v>
      </c>
      <c r="D7" s="236">
        <v>588</v>
      </c>
      <c r="E7" s="236">
        <v>753</v>
      </c>
      <c r="F7" s="236">
        <v>328</v>
      </c>
      <c r="G7" s="236">
        <v>1036</v>
      </c>
      <c r="H7" s="236">
        <v>2216</v>
      </c>
      <c r="I7" s="236">
        <v>62</v>
      </c>
      <c r="J7" s="236">
        <v>11</v>
      </c>
      <c r="K7" s="237">
        <f>SUM(B7:J7)</f>
        <v>5788</v>
      </c>
    </row>
    <row r="8" spans="1:13" ht="12.75" hidden="1" customHeight="1">
      <c r="A8" s="234" t="s">
        <v>229</v>
      </c>
      <c r="B8" s="236">
        <v>172</v>
      </c>
      <c r="C8" s="236">
        <v>581</v>
      </c>
      <c r="D8" s="236">
        <v>555</v>
      </c>
      <c r="E8" s="236">
        <v>715</v>
      </c>
      <c r="F8" s="236">
        <v>319</v>
      </c>
      <c r="G8" s="236">
        <v>986</v>
      </c>
      <c r="H8" s="236">
        <v>2095</v>
      </c>
      <c r="I8" s="236">
        <v>60</v>
      </c>
      <c r="J8" s="236">
        <v>11</v>
      </c>
      <c r="K8" s="237">
        <f>SUM(B8:J8)</f>
        <v>5494</v>
      </c>
    </row>
    <row r="9" spans="1:13" ht="12.75" customHeight="1">
      <c r="A9" s="234" t="s">
        <v>230</v>
      </c>
      <c r="B9" s="236">
        <v>154</v>
      </c>
      <c r="C9" s="236">
        <v>540</v>
      </c>
      <c r="D9" s="236">
        <v>530</v>
      </c>
      <c r="E9" s="236">
        <v>670</v>
      </c>
      <c r="F9" s="236">
        <v>302</v>
      </c>
      <c r="G9" s="236">
        <v>938</v>
      </c>
      <c r="H9" s="236">
        <v>1955</v>
      </c>
      <c r="I9" s="236">
        <v>55</v>
      </c>
      <c r="J9" s="236">
        <v>11</v>
      </c>
      <c r="K9" s="237">
        <f>SUM(B9:J9)</f>
        <v>5155</v>
      </c>
    </row>
    <row r="10" spans="1:13" ht="6.95" customHeight="1">
      <c r="A10" s="243"/>
      <c r="B10" s="245"/>
      <c r="C10" s="245"/>
      <c r="D10" s="245"/>
      <c r="E10" s="245"/>
      <c r="F10" s="245"/>
      <c r="G10" s="245"/>
      <c r="H10" s="245"/>
      <c r="I10" s="245"/>
      <c r="J10" s="245"/>
      <c r="K10" s="237"/>
    </row>
    <row r="11" spans="1:13" ht="12.75" customHeight="1">
      <c r="A11" s="234" t="s">
        <v>49</v>
      </c>
      <c r="B11" s="236">
        <v>141</v>
      </c>
      <c r="C11" s="236">
        <v>485</v>
      </c>
      <c r="D11" s="236">
        <v>477</v>
      </c>
      <c r="E11" s="236">
        <v>621</v>
      </c>
      <c r="F11" s="236">
        <v>277</v>
      </c>
      <c r="G11" s="236">
        <v>874</v>
      </c>
      <c r="H11" s="236">
        <v>1808</v>
      </c>
      <c r="I11" s="236">
        <v>53</v>
      </c>
      <c r="J11" s="236">
        <v>10</v>
      </c>
      <c r="K11" s="237">
        <f>SUM(B11:J11)</f>
        <v>4746</v>
      </c>
    </row>
    <row r="12" spans="1:13" ht="12.75" hidden="1" customHeight="1">
      <c r="A12" s="234" t="s">
        <v>231</v>
      </c>
      <c r="B12" s="236">
        <v>121</v>
      </c>
      <c r="C12" s="236">
        <v>444</v>
      </c>
      <c r="D12" s="236">
        <v>446</v>
      </c>
      <c r="E12" s="236">
        <v>583</v>
      </c>
      <c r="F12" s="236">
        <v>254</v>
      </c>
      <c r="G12" s="236">
        <v>835</v>
      </c>
      <c r="H12" s="236">
        <v>1709</v>
      </c>
      <c r="I12" s="236">
        <v>51</v>
      </c>
      <c r="J12" s="236">
        <v>9</v>
      </c>
      <c r="K12" s="237">
        <f>SUM(B12:J12)</f>
        <v>4452</v>
      </c>
    </row>
    <row r="13" spans="1:13" ht="12.75" hidden="1" customHeight="1">
      <c r="A13" s="234" t="s">
        <v>232</v>
      </c>
      <c r="B13" s="236">
        <v>100</v>
      </c>
      <c r="C13" s="236">
        <v>362</v>
      </c>
      <c r="D13" s="236">
        <v>352</v>
      </c>
      <c r="E13" s="236">
        <v>502</v>
      </c>
      <c r="F13" s="236">
        <v>221</v>
      </c>
      <c r="G13" s="236">
        <v>759</v>
      </c>
      <c r="H13" s="236">
        <v>1523</v>
      </c>
      <c r="I13" s="236">
        <v>42</v>
      </c>
      <c r="J13" s="236">
        <v>9</v>
      </c>
      <c r="K13" s="237">
        <f>SUM(B13:J13)</f>
        <v>3870</v>
      </c>
    </row>
    <row r="14" spans="1:13" ht="12.75" hidden="1" customHeight="1">
      <c r="A14" s="234" t="s">
        <v>233</v>
      </c>
      <c r="B14" s="236">
        <v>82</v>
      </c>
      <c r="C14" s="236">
        <v>285</v>
      </c>
      <c r="D14" s="236">
        <v>290</v>
      </c>
      <c r="E14" s="236">
        <v>396</v>
      </c>
      <c r="F14" s="236">
        <v>182</v>
      </c>
      <c r="G14" s="236">
        <v>636</v>
      </c>
      <c r="H14" s="236">
        <v>1274</v>
      </c>
      <c r="I14" s="236">
        <v>36</v>
      </c>
      <c r="J14" s="236">
        <v>9</v>
      </c>
      <c r="K14" s="237">
        <f>SUM(B14:J14)</f>
        <v>3190</v>
      </c>
    </row>
    <row r="15" spans="1:13" ht="12.75" customHeight="1">
      <c r="A15" s="234" t="s">
        <v>234</v>
      </c>
      <c r="B15" s="236">
        <v>74</v>
      </c>
      <c r="C15" s="236">
        <v>265</v>
      </c>
      <c r="D15" s="236">
        <v>267</v>
      </c>
      <c r="E15" s="236">
        <v>364</v>
      </c>
      <c r="F15" s="236">
        <v>176</v>
      </c>
      <c r="G15" s="236">
        <v>623</v>
      </c>
      <c r="H15" s="236">
        <v>1196</v>
      </c>
      <c r="I15" s="236">
        <v>37</v>
      </c>
      <c r="J15" s="236">
        <v>8</v>
      </c>
      <c r="K15" s="237">
        <f>SUM(B15:J15)</f>
        <v>3010</v>
      </c>
    </row>
    <row r="16" spans="1:13" ht="6.95" customHeight="1">
      <c r="A16" s="243"/>
      <c r="B16" s="245"/>
      <c r="C16" s="245"/>
      <c r="D16" s="245"/>
      <c r="E16" s="245"/>
      <c r="F16" s="245"/>
      <c r="G16" s="245"/>
      <c r="H16" s="245"/>
      <c r="I16" s="245"/>
      <c r="J16" s="245"/>
      <c r="K16" s="237"/>
    </row>
    <row r="17" spans="1:12" ht="12.75" customHeight="1">
      <c r="A17" s="234" t="s">
        <v>50</v>
      </c>
      <c r="B17" s="236">
        <f>83+7</f>
        <v>90</v>
      </c>
      <c r="C17" s="236">
        <f>275+5</f>
        <v>280</v>
      </c>
      <c r="D17" s="236">
        <v>266</v>
      </c>
      <c r="E17" s="236">
        <v>364</v>
      </c>
      <c r="F17" s="236">
        <v>170</v>
      </c>
      <c r="G17" s="236">
        <v>606</v>
      </c>
      <c r="H17" s="236">
        <v>1168</v>
      </c>
      <c r="I17" s="236">
        <v>33</v>
      </c>
      <c r="J17" s="236">
        <v>7</v>
      </c>
      <c r="K17" s="237">
        <f>SUM(B17:J17)</f>
        <v>2984</v>
      </c>
      <c r="L17" s="479"/>
    </row>
    <row r="18" spans="1:12" ht="12.75" hidden="1" customHeight="1">
      <c r="A18" s="234" t="s">
        <v>153</v>
      </c>
      <c r="B18" s="236">
        <f>74+7</f>
        <v>81</v>
      </c>
      <c r="C18" s="236">
        <f>266+5</f>
        <v>271</v>
      </c>
      <c r="D18" s="236">
        <v>248</v>
      </c>
      <c r="E18" s="236">
        <v>341</v>
      </c>
      <c r="F18" s="236">
        <v>161</v>
      </c>
      <c r="G18" s="236">
        <v>584</v>
      </c>
      <c r="H18" s="236">
        <v>1090</v>
      </c>
      <c r="I18" s="236">
        <v>32</v>
      </c>
      <c r="J18" s="236">
        <v>7</v>
      </c>
      <c r="K18" s="237">
        <f>SUM(B18:J18)</f>
        <v>2815</v>
      </c>
      <c r="L18" s="479"/>
    </row>
    <row r="19" spans="1:12" ht="12.75" hidden="1" customHeight="1">
      <c r="A19" s="234" t="s">
        <v>154</v>
      </c>
      <c r="B19" s="236">
        <f>71+7</f>
        <v>78</v>
      </c>
      <c r="C19" s="236">
        <f>254+4</f>
        <v>258</v>
      </c>
      <c r="D19" s="236">
        <v>237</v>
      </c>
      <c r="E19" s="236">
        <v>318</v>
      </c>
      <c r="F19" s="236">
        <v>151</v>
      </c>
      <c r="G19" s="236">
        <v>579</v>
      </c>
      <c r="H19" s="236">
        <v>953</v>
      </c>
      <c r="I19" s="236">
        <v>29</v>
      </c>
      <c r="J19" s="236">
        <v>7</v>
      </c>
      <c r="K19" s="237">
        <f>SUM(B19:J19)</f>
        <v>2610</v>
      </c>
      <c r="L19" s="479"/>
    </row>
    <row r="20" spans="1:12" ht="12.75" hidden="1" customHeight="1">
      <c r="A20" s="234" t="s">
        <v>155</v>
      </c>
      <c r="B20" s="236">
        <f>34+7</f>
        <v>41</v>
      </c>
      <c r="C20" s="236">
        <f>242+4</f>
        <v>246</v>
      </c>
      <c r="D20" s="236">
        <v>225</v>
      </c>
      <c r="E20" s="236">
        <v>302</v>
      </c>
      <c r="F20" s="236">
        <v>139</v>
      </c>
      <c r="G20" s="236">
        <v>518</v>
      </c>
      <c r="H20" s="236">
        <v>885</v>
      </c>
      <c r="I20" s="236">
        <v>29</v>
      </c>
      <c r="J20" s="236">
        <v>7</v>
      </c>
      <c r="K20" s="237">
        <f>SUM(B20:J20)</f>
        <v>2392</v>
      </c>
      <c r="L20" s="479"/>
    </row>
    <row r="21" spans="1:12" ht="12.75" customHeight="1">
      <c r="A21" s="234" t="s">
        <v>156</v>
      </c>
      <c r="B21" s="236">
        <f>32+5</f>
        <v>37</v>
      </c>
      <c r="C21" s="236">
        <f>3+233</f>
        <v>236</v>
      </c>
      <c r="D21" s="236">
        <v>214</v>
      </c>
      <c r="E21" s="236">
        <v>284</v>
      </c>
      <c r="F21" s="236">
        <v>128</v>
      </c>
      <c r="G21" s="236">
        <v>513</v>
      </c>
      <c r="H21" s="236">
        <v>790</v>
      </c>
      <c r="I21" s="236">
        <v>28</v>
      </c>
      <c r="J21" s="236">
        <v>9</v>
      </c>
      <c r="K21" s="237">
        <f>SUM(B21:J21)</f>
        <v>2239</v>
      </c>
      <c r="L21" s="479"/>
    </row>
    <row r="22" spans="1:12" ht="6.95" customHeight="1">
      <c r="A22" s="243"/>
      <c r="B22" s="245"/>
      <c r="C22" s="245"/>
      <c r="D22" s="245"/>
      <c r="E22" s="245"/>
      <c r="F22" s="245"/>
      <c r="G22" s="245"/>
      <c r="H22" s="245"/>
      <c r="I22" s="245"/>
      <c r="J22" s="245"/>
      <c r="K22" s="237"/>
      <c r="L22" s="479"/>
    </row>
    <row r="23" spans="1:12" ht="12.75" customHeight="1">
      <c r="A23" s="234" t="s">
        <v>51</v>
      </c>
      <c r="B23" s="236">
        <v>37</v>
      </c>
      <c r="C23" s="236">
        <v>220</v>
      </c>
      <c r="D23" s="236">
        <v>201</v>
      </c>
      <c r="E23" s="236">
        <v>254</v>
      </c>
      <c r="F23" s="236">
        <v>124</v>
      </c>
      <c r="G23" s="236">
        <v>478</v>
      </c>
      <c r="H23" s="236">
        <v>773</v>
      </c>
      <c r="I23" s="236">
        <v>28</v>
      </c>
      <c r="J23" s="236">
        <v>9</v>
      </c>
      <c r="K23" s="237">
        <f>SUM(B23:J23)</f>
        <v>2124</v>
      </c>
      <c r="L23" s="479"/>
    </row>
    <row r="24" spans="1:12" ht="12.75" hidden="1" customHeight="1">
      <c r="A24" s="234" t="s">
        <v>52</v>
      </c>
      <c r="B24" s="236">
        <v>37</v>
      </c>
      <c r="C24" s="236">
        <v>187</v>
      </c>
      <c r="D24" s="236">
        <v>201</v>
      </c>
      <c r="E24" s="236">
        <v>243</v>
      </c>
      <c r="F24" s="236">
        <v>123</v>
      </c>
      <c r="G24" s="236">
        <v>461</v>
      </c>
      <c r="H24" s="236">
        <v>745</v>
      </c>
      <c r="I24" s="236">
        <v>21</v>
      </c>
      <c r="J24" s="236">
        <v>10</v>
      </c>
      <c r="K24" s="237">
        <f>SUM(B24:J24)</f>
        <v>2028</v>
      </c>
      <c r="L24" s="479"/>
    </row>
    <row r="25" spans="1:12" ht="12.75" customHeight="1">
      <c r="A25" s="234" t="s">
        <v>53</v>
      </c>
      <c r="B25" s="236">
        <v>37</v>
      </c>
      <c r="C25" s="236">
        <v>182</v>
      </c>
      <c r="D25" s="236">
        <v>201</v>
      </c>
      <c r="E25" s="236">
        <v>243</v>
      </c>
      <c r="F25" s="236">
        <v>122</v>
      </c>
      <c r="G25" s="236">
        <v>460</v>
      </c>
      <c r="H25" s="236">
        <v>733</v>
      </c>
      <c r="I25" s="236">
        <v>21</v>
      </c>
      <c r="J25" s="236">
        <v>10</v>
      </c>
      <c r="K25" s="237">
        <f>SUM(B25:J25)</f>
        <v>2009</v>
      </c>
      <c r="L25" s="479"/>
    </row>
    <row r="26" spans="1:12" ht="6.95" customHeight="1">
      <c r="A26" s="243"/>
      <c r="B26" s="245"/>
      <c r="C26" s="245"/>
      <c r="D26" s="245"/>
      <c r="E26" s="245"/>
      <c r="F26" s="245"/>
      <c r="G26" s="245"/>
      <c r="H26" s="245"/>
      <c r="I26" s="245"/>
      <c r="J26" s="245"/>
      <c r="K26" s="237"/>
    </row>
    <row r="27" spans="1:12" ht="13.5" customHeight="1">
      <c r="A27" s="234" t="s">
        <v>235</v>
      </c>
      <c r="B27" s="236">
        <v>19</v>
      </c>
      <c r="C27" s="236">
        <v>73</v>
      </c>
      <c r="D27" s="236">
        <v>91</v>
      </c>
      <c r="E27" s="236">
        <v>52</v>
      </c>
      <c r="F27" s="236">
        <v>57</v>
      </c>
      <c r="G27" s="236">
        <v>208</v>
      </c>
      <c r="H27" s="236">
        <v>216</v>
      </c>
      <c r="I27" s="236">
        <v>12</v>
      </c>
      <c r="J27" s="236">
        <v>5</v>
      </c>
      <c r="K27" s="237">
        <f>SUM(B27:J27)</f>
        <v>733</v>
      </c>
      <c r="L27" s="479"/>
    </row>
    <row r="28" spans="1:12" ht="12.75" hidden="1" customHeight="1">
      <c r="A28" s="234" t="s">
        <v>54</v>
      </c>
      <c r="B28" s="236">
        <v>18</v>
      </c>
      <c r="C28" s="236">
        <v>72</v>
      </c>
      <c r="D28" s="236">
        <v>88</v>
      </c>
      <c r="E28" s="236">
        <v>50</v>
      </c>
      <c r="F28" s="236">
        <v>53</v>
      </c>
      <c r="G28" s="236">
        <v>189</v>
      </c>
      <c r="H28" s="236">
        <v>212</v>
      </c>
      <c r="I28" s="236">
        <v>14</v>
      </c>
      <c r="J28" s="236">
        <v>3</v>
      </c>
      <c r="K28" s="237">
        <f>SUM(B28:J28)</f>
        <v>699</v>
      </c>
      <c r="L28" s="479"/>
    </row>
    <row r="29" spans="1:12" ht="12.75" hidden="1" customHeight="1">
      <c r="A29" s="234" t="s">
        <v>55</v>
      </c>
      <c r="B29" s="236">
        <v>20</v>
      </c>
      <c r="C29" s="236">
        <v>73</v>
      </c>
      <c r="D29" s="236">
        <v>81</v>
      </c>
      <c r="E29" s="236">
        <v>50</v>
      </c>
      <c r="F29" s="236">
        <v>51</v>
      </c>
      <c r="G29" s="236">
        <v>186</v>
      </c>
      <c r="H29" s="236">
        <v>208</v>
      </c>
      <c r="I29" s="236">
        <v>14</v>
      </c>
      <c r="J29" s="480" t="s">
        <v>183</v>
      </c>
      <c r="K29" s="237">
        <f>SUM(B29:J29)</f>
        <v>683</v>
      </c>
      <c r="L29" s="479"/>
    </row>
    <row r="30" spans="1:12" ht="6.95" customHeight="1">
      <c r="A30" s="243"/>
      <c r="B30" s="245"/>
      <c r="C30" s="245"/>
      <c r="D30" s="245"/>
      <c r="E30" s="245"/>
      <c r="F30" s="245"/>
      <c r="G30" s="245"/>
      <c r="H30" s="245"/>
      <c r="I30" s="245"/>
      <c r="J30" s="481"/>
      <c r="K30" s="237"/>
      <c r="L30" s="479"/>
    </row>
    <row r="31" spans="1:12" ht="12.75" customHeight="1">
      <c r="A31" s="234" t="s">
        <v>56</v>
      </c>
      <c r="B31" s="482">
        <v>19</v>
      </c>
      <c r="C31" s="236">
        <v>67</v>
      </c>
      <c r="D31" s="236">
        <v>78</v>
      </c>
      <c r="E31" s="236">
        <v>48</v>
      </c>
      <c r="F31" s="236">
        <v>49</v>
      </c>
      <c r="G31" s="236">
        <v>180</v>
      </c>
      <c r="H31" s="236">
        <v>203</v>
      </c>
      <c r="I31" s="236">
        <v>15</v>
      </c>
      <c r="J31" s="483" t="s">
        <v>183</v>
      </c>
      <c r="K31" s="237">
        <f t="shared" ref="K31:K46" si="0">SUM(B31:J31)</f>
        <v>659</v>
      </c>
      <c r="L31" s="479"/>
    </row>
    <row r="32" spans="1:12" ht="12.75" hidden="1" customHeight="1">
      <c r="A32" s="234" t="s">
        <v>57</v>
      </c>
      <c r="B32" s="236">
        <v>18</v>
      </c>
      <c r="C32" s="236">
        <v>68</v>
      </c>
      <c r="D32" s="236">
        <v>71</v>
      </c>
      <c r="E32" s="236">
        <v>47</v>
      </c>
      <c r="F32" s="236">
        <v>48</v>
      </c>
      <c r="G32" s="236">
        <v>175</v>
      </c>
      <c r="H32" s="236">
        <v>192</v>
      </c>
      <c r="I32" s="236">
        <v>13</v>
      </c>
      <c r="J32" s="480" t="s">
        <v>183</v>
      </c>
      <c r="K32" s="237">
        <f t="shared" si="0"/>
        <v>632</v>
      </c>
      <c r="L32" s="479"/>
    </row>
    <row r="33" spans="1:13" ht="12.75" hidden="1" customHeight="1">
      <c r="A33" s="234" t="s">
        <v>58</v>
      </c>
      <c r="B33" s="236">
        <v>18</v>
      </c>
      <c r="C33" s="236">
        <v>65</v>
      </c>
      <c r="D33" s="236">
        <v>67</v>
      </c>
      <c r="E33" s="236">
        <v>45</v>
      </c>
      <c r="F33" s="236">
        <v>45</v>
      </c>
      <c r="G33" s="236">
        <v>175</v>
      </c>
      <c r="H33" s="236">
        <v>188</v>
      </c>
      <c r="I33" s="236">
        <v>13</v>
      </c>
      <c r="J33" s="480" t="s">
        <v>183</v>
      </c>
      <c r="K33" s="237">
        <f t="shared" si="0"/>
        <v>616</v>
      </c>
      <c r="L33" s="479"/>
    </row>
    <row r="34" spans="1:13" ht="12.75" hidden="1" customHeight="1">
      <c r="A34" s="234" t="s">
        <v>59</v>
      </c>
      <c r="B34" s="236">
        <v>18</v>
      </c>
      <c r="C34" s="236">
        <v>56</v>
      </c>
      <c r="D34" s="236">
        <v>65</v>
      </c>
      <c r="E34" s="236">
        <v>46</v>
      </c>
      <c r="F34" s="236">
        <v>45</v>
      </c>
      <c r="G34" s="236">
        <v>169</v>
      </c>
      <c r="H34" s="236">
        <v>184</v>
      </c>
      <c r="I34" s="236">
        <v>13</v>
      </c>
      <c r="J34" s="480" t="s">
        <v>183</v>
      </c>
      <c r="K34" s="237">
        <f t="shared" si="0"/>
        <v>596</v>
      </c>
      <c r="L34" s="479"/>
    </row>
    <row r="35" spans="1:13" ht="12.75" hidden="1" customHeight="1">
      <c r="A35" s="234" t="s">
        <v>60</v>
      </c>
      <c r="B35" s="236">
        <v>18</v>
      </c>
      <c r="C35" s="236">
        <v>53</v>
      </c>
      <c r="D35" s="236">
        <v>63</v>
      </c>
      <c r="E35" s="236">
        <v>46</v>
      </c>
      <c r="F35" s="236">
        <v>41</v>
      </c>
      <c r="G35" s="236">
        <v>171</v>
      </c>
      <c r="H35" s="236">
        <v>181</v>
      </c>
      <c r="I35" s="236">
        <v>12</v>
      </c>
      <c r="J35" s="480" t="s">
        <v>183</v>
      </c>
      <c r="K35" s="237">
        <f t="shared" si="0"/>
        <v>585</v>
      </c>
    </row>
    <row r="36" spans="1:13" ht="12.75" hidden="1" customHeight="1">
      <c r="A36" s="234" t="s">
        <v>61</v>
      </c>
      <c r="B36" s="236">
        <v>19</v>
      </c>
      <c r="C36" s="236">
        <v>50</v>
      </c>
      <c r="D36" s="236">
        <v>57</v>
      </c>
      <c r="E36" s="236">
        <v>45</v>
      </c>
      <c r="F36" s="236">
        <v>39</v>
      </c>
      <c r="G36" s="236">
        <v>168</v>
      </c>
      <c r="H36" s="236">
        <v>172</v>
      </c>
      <c r="I36" s="236">
        <v>10</v>
      </c>
      <c r="J36" s="480" t="s">
        <v>183</v>
      </c>
      <c r="K36" s="237">
        <f t="shared" si="0"/>
        <v>560</v>
      </c>
    </row>
    <row r="37" spans="1:13" ht="12.75" hidden="1" customHeight="1">
      <c r="A37" s="234" t="s">
        <v>63</v>
      </c>
      <c r="B37" s="236">
        <v>15</v>
      </c>
      <c r="C37" s="236">
        <v>51</v>
      </c>
      <c r="D37" s="236">
        <v>52</v>
      </c>
      <c r="E37" s="236">
        <v>43</v>
      </c>
      <c r="F37" s="236">
        <v>37</v>
      </c>
      <c r="G37" s="236">
        <v>155</v>
      </c>
      <c r="H37" s="236">
        <v>157</v>
      </c>
      <c r="I37" s="484">
        <v>10</v>
      </c>
      <c r="J37" s="484"/>
      <c r="K37" s="237">
        <f t="shared" si="0"/>
        <v>520</v>
      </c>
    </row>
    <row r="38" spans="1:13" ht="12.75" hidden="1" customHeight="1">
      <c r="A38" s="243" t="s">
        <v>64</v>
      </c>
      <c r="B38" s="245">
        <v>13</v>
      </c>
      <c r="C38" s="245">
        <v>46</v>
      </c>
      <c r="D38" s="245">
        <v>49</v>
      </c>
      <c r="E38" s="245">
        <v>41</v>
      </c>
      <c r="F38" s="245">
        <v>37</v>
      </c>
      <c r="G38" s="245">
        <v>144</v>
      </c>
      <c r="H38" s="245">
        <v>148</v>
      </c>
      <c r="I38" s="484">
        <v>10</v>
      </c>
      <c r="J38" s="484"/>
      <c r="K38" s="237">
        <f t="shared" si="0"/>
        <v>488</v>
      </c>
    </row>
    <row r="39" spans="1:13" ht="12.75" hidden="1" customHeight="1">
      <c r="A39" s="243" t="s">
        <v>65</v>
      </c>
      <c r="B39" s="245">
        <f>11+2</f>
        <v>13</v>
      </c>
      <c r="C39" s="245">
        <f>43+1</f>
        <v>44</v>
      </c>
      <c r="D39" s="245">
        <v>47</v>
      </c>
      <c r="E39" s="245">
        <v>41</v>
      </c>
      <c r="F39" s="245">
        <v>36</v>
      </c>
      <c r="G39" s="245">
        <v>141</v>
      </c>
      <c r="H39" s="245">
        <v>142</v>
      </c>
      <c r="I39" s="484">
        <v>10</v>
      </c>
      <c r="J39" s="484"/>
      <c r="K39" s="237">
        <f t="shared" si="0"/>
        <v>474</v>
      </c>
    </row>
    <row r="40" spans="1:13" ht="12.75" hidden="1" customHeight="1">
      <c r="A40" s="243" t="s">
        <v>66</v>
      </c>
      <c r="B40" s="245">
        <v>12</v>
      </c>
      <c r="C40" s="245">
        <v>43</v>
      </c>
      <c r="D40" s="245">
        <v>45</v>
      </c>
      <c r="E40" s="245">
        <v>28</v>
      </c>
      <c r="F40" s="245">
        <v>33</v>
      </c>
      <c r="G40" s="245">
        <v>132</v>
      </c>
      <c r="H40" s="245">
        <v>139</v>
      </c>
      <c r="I40" s="484">
        <v>9</v>
      </c>
      <c r="J40" s="485"/>
      <c r="K40" s="271">
        <f t="shared" si="0"/>
        <v>441</v>
      </c>
    </row>
    <row r="41" spans="1:13" ht="12.75" customHeight="1">
      <c r="A41" s="243" t="s">
        <v>67</v>
      </c>
      <c r="B41" s="245">
        <v>12</v>
      </c>
      <c r="C41" s="245">
        <v>39</v>
      </c>
      <c r="D41" s="245">
        <v>45</v>
      </c>
      <c r="E41" s="245">
        <v>24</v>
      </c>
      <c r="F41" s="245">
        <v>32</v>
      </c>
      <c r="G41" s="245">
        <v>131</v>
      </c>
      <c r="H41" s="245">
        <v>134</v>
      </c>
      <c r="I41" s="484">
        <v>9</v>
      </c>
      <c r="J41" s="484"/>
      <c r="K41" s="237">
        <f t="shared" si="0"/>
        <v>426</v>
      </c>
    </row>
    <row r="42" spans="1:13" ht="12.75" hidden="1" customHeight="1">
      <c r="A42" s="243" t="s">
        <v>68</v>
      </c>
      <c r="B42" s="245">
        <v>12</v>
      </c>
      <c r="C42" s="245">
        <v>38</v>
      </c>
      <c r="D42" s="245">
        <v>44</v>
      </c>
      <c r="E42" s="245">
        <v>35</v>
      </c>
      <c r="F42" s="245">
        <v>31</v>
      </c>
      <c r="G42" s="245">
        <v>130</v>
      </c>
      <c r="H42" s="245">
        <v>130</v>
      </c>
      <c r="I42" s="484">
        <v>9</v>
      </c>
      <c r="J42" s="484"/>
      <c r="K42" s="237">
        <f t="shared" si="0"/>
        <v>429</v>
      </c>
    </row>
    <row r="43" spans="1:13" ht="12.75" hidden="1" customHeight="1">
      <c r="A43" s="243" t="s">
        <v>69</v>
      </c>
      <c r="B43" s="245">
        <v>12</v>
      </c>
      <c r="C43" s="245">
        <v>34</v>
      </c>
      <c r="D43" s="245">
        <v>42</v>
      </c>
      <c r="E43" s="245">
        <v>28</v>
      </c>
      <c r="F43" s="245">
        <v>30</v>
      </c>
      <c r="G43" s="245">
        <v>129</v>
      </c>
      <c r="H43" s="245">
        <v>129</v>
      </c>
      <c r="I43" s="484">
        <v>8</v>
      </c>
      <c r="J43" s="484"/>
      <c r="K43" s="237">
        <f t="shared" si="0"/>
        <v>412</v>
      </c>
    </row>
    <row r="44" spans="1:13" s="244" customFormat="1" ht="12.75" hidden="1" customHeight="1">
      <c r="A44" s="487" t="s">
        <v>70</v>
      </c>
      <c r="B44" s="245">
        <v>10</v>
      </c>
      <c r="C44" s="245">
        <v>36</v>
      </c>
      <c r="D44" s="245">
        <v>41</v>
      </c>
      <c r="E44" s="245">
        <v>27</v>
      </c>
      <c r="F44" s="245">
        <v>27</v>
      </c>
      <c r="G44" s="245">
        <v>123</v>
      </c>
      <c r="H44" s="245">
        <v>118</v>
      </c>
      <c r="I44" s="484">
        <v>8</v>
      </c>
      <c r="J44" s="484"/>
      <c r="K44" s="237">
        <f>SUM(B44:J44)</f>
        <v>390</v>
      </c>
    </row>
    <row r="45" spans="1:13" s="244" customFormat="1" ht="12.75" customHeight="1">
      <c r="A45" s="487" t="s">
        <v>71</v>
      </c>
      <c r="B45" s="245">
        <v>10</v>
      </c>
      <c r="C45" s="245">
        <v>34</v>
      </c>
      <c r="D45" s="245">
        <v>36</v>
      </c>
      <c r="E45" s="245">
        <v>26</v>
      </c>
      <c r="F45" s="245">
        <v>25</v>
      </c>
      <c r="G45" s="245">
        <v>119</v>
      </c>
      <c r="H45" s="245">
        <v>111</v>
      </c>
      <c r="I45" s="484">
        <v>8</v>
      </c>
      <c r="J45" s="484"/>
      <c r="K45" s="237">
        <f>SUM(B45:J45)</f>
        <v>369</v>
      </c>
      <c r="M45" s="488"/>
    </row>
    <row r="46" spans="1:13" ht="14.85" customHeight="1">
      <c r="A46" s="487" t="s">
        <v>236</v>
      </c>
      <c r="B46" s="245">
        <v>9</v>
      </c>
      <c r="C46" s="245">
        <v>27</v>
      </c>
      <c r="D46" s="245">
        <v>33</v>
      </c>
      <c r="E46" s="245">
        <v>21</v>
      </c>
      <c r="F46" s="245">
        <v>18</v>
      </c>
      <c r="G46" s="245">
        <v>80</v>
      </c>
      <c r="H46" s="245">
        <v>94</v>
      </c>
      <c r="I46" s="484">
        <v>8</v>
      </c>
      <c r="J46" s="484"/>
      <c r="K46" s="237">
        <f t="shared" si="0"/>
        <v>290</v>
      </c>
      <c r="M46" s="489"/>
    </row>
    <row r="47" spans="1:13" ht="14.85" hidden="1" customHeight="1">
      <c r="A47" s="487" t="s">
        <v>72</v>
      </c>
      <c r="B47" s="245">
        <v>7</v>
      </c>
      <c r="C47" s="245">
        <v>26</v>
      </c>
      <c r="D47" s="245">
        <v>31</v>
      </c>
      <c r="E47" s="245">
        <v>20</v>
      </c>
      <c r="F47" s="245">
        <v>19</v>
      </c>
      <c r="G47" s="245">
        <v>77</v>
      </c>
      <c r="H47" s="245">
        <v>90</v>
      </c>
      <c r="I47" s="484">
        <v>8</v>
      </c>
      <c r="J47" s="484"/>
      <c r="K47" s="237">
        <v>278</v>
      </c>
      <c r="M47" s="489"/>
    </row>
    <row r="48" spans="1:13" ht="14.85" hidden="1" customHeight="1">
      <c r="A48" s="487" t="s">
        <v>73</v>
      </c>
      <c r="B48" s="245">
        <v>7</v>
      </c>
      <c r="C48" s="245">
        <v>27</v>
      </c>
      <c r="D48" s="245">
        <v>31</v>
      </c>
      <c r="E48" s="245">
        <v>20</v>
      </c>
      <c r="F48" s="245">
        <v>18</v>
      </c>
      <c r="G48" s="245">
        <v>81</v>
      </c>
      <c r="H48" s="245">
        <v>90</v>
      </c>
      <c r="I48" s="484">
        <v>8</v>
      </c>
      <c r="J48" s="484"/>
      <c r="K48" s="237">
        <v>282</v>
      </c>
      <c r="M48" s="489"/>
    </row>
    <row r="49" spans="1:13" ht="14.85" hidden="1" customHeight="1">
      <c r="A49" s="487" t="s">
        <v>74</v>
      </c>
      <c r="B49" s="245">
        <v>7</v>
      </c>
      <c r="C49" s="245">
        <v>26</v>
      </c>
      <c r="D49" s="245">
        <v>29</v>
      </c>
      <c r="E49" s="245">
        <v>20</v>
      </c>
      <c r="F49" s="245">
        <v>17</v>
      </c>
      <c r="G49" s="245">
        <v>79</v>
      </c>
      <c r="H49" s="245">
        <v>87</v>
      </c>
      <c r="I49" s="484">
        <v>8</v>
      </c>
      <c r="J49" s="484"/>
      <c r="K49" s="237">
        <f t="shared" ref="K49:K58" si="1">SUM(B49:J49)</f>
        <v>273</v>
      </c>
      <c r="M49" s="489"/>
    </row>
    <row r="50" spans="1:13" ht="14.85" customHeight="1">
      <c r="A50" s="487" t="s">
        <v>75</v>
      </c>
      <c r="B50" s="245">
        <v>7</v>
      </c>
      <c r="C50" s="245">
        <v>24</v>
      </c>
      <c r="D50" s="245">
        <v>29</v>
      </c>
      <c r="E50" s="245">
        <v>20</v>
      </c>
      <c r="F50" s="245">
        <v>17</v>
      </c>
      <c r="G50" s="245">
        <v>80</v>
      </c>
      <c r="H50" s="245">
        <v>88</v>
      </c>
      <c r="I50" s="484">
        <v>7</v>
      </c>
      <c r="J50" s="484"/>
      <c r="K50" s="237">
        <f t="shared" si="1"/>
        <v>272</v>
      </c>
      <c r="M50" s="489"/>
    </row>
    <row r="51" spans="1:13" ht="14.85" customHeight="1">
      <c r="A51" s="487" t="s">
        <v>76</v>
      </c>
      <c r="B51" s="245">
        <v>7</v>
      </c>
      <c r="C51" s="245">
        <v>19</v>
      </c>
      <c r="D51" s="245">
        <v>30</v>
      </c>
      <c r="E51" s="245">
        <v>17</v>
      </c>
      <c r="F51" s="245">
        <v>15</v>
      </c>
      <c r="G51" s="245">
        <v>79</v>
      </c>
      <c r="H51" s="245">
        <v>85</v>
      </c>
      <c r="I51" s="484">
        <v>7</v>
      </c>
      <c r="J51" s="484"/>
      <c r="K51" s="237">
        <f t="shared" si="1"/>
        <v>259</v>
      </c>
      <c r="M51" s="489"/>
    </row>
    <row r="52" spans="1:13" s="244" customFormat="1" ht="14.85" customHeight="1">
      <c r="A52" s="487" t="s">
        <v>77</v>
      </c>
      <c r="B52" s="245">
        <v>7</v>
      </c>
      <c r="C52" s="245">
        <v>22</v>
      </c>
      <c r="D52" s="245">
        <v>28</v>
      </c>
      <c r="E52" s="245">
        <v>16</v>
      </c>
      <c r="F52" s="245">
        <v>15</v>
      </c>
      <c r="G52" s="245">
        <v>79</v>
      </c>
      <c r="H52" s="245">
        <v>83</v>
      </c>
      <c r="I52" s="484">
        <v>7</v>
      </c>
      <c r="J52" s="484"/>
      <c r="K52" s="237">
        <f t="shared" si="1"/>
        <v>257</v>
      </c>
      <c r="M52" s="489"/>
    </row>
    <row r="53" spans="1:13" s="244" customFormat="1" ht="14.85" customHeight="1">
      <c r="A53" s="487" t="s">
        <v>78</v>
      </c>
      <c r="B53" s="245">
        <v>6</v>
      </c>
      <c r="C53" s="245">
        <v>21</v>
      </c>
      <c r="D53" s="245">
        <v>27</v>
      </c>
      <c r="E53" s="245">
        <v>16</v>
      </c>
      <c r="F53" s="245">
        <v>15</v>
      </c>
      <c r="G53" s="245">
        <v>75</v>
      </c>
      <c r="H53" s="245">
        <v>83</v>
      </c>
      <c r="I53" s="484">
        <v>7</v>
      </c>
      <c r="J53" s="484"/>
      <c r="K53" s="237">
        <f t="shared" si="1"/>
        <v>250</v>
      </c>
      <c r="M53" s="489"/>
    </row>
    <row r="54" spans="1:13" s="244" customFormat="1" ht="14.85" customHeight="1">
      <c r="A54" s="487" t="s">
        <v>79</v>
      </c>
      <c r="B54" s="245">
        <v>6</v>
      </c>
      <c r="C54" s="245">
        <v>21</v>
      </c>
      <c r="D54" s="245">
        <v>26</v>
      </c>
      <c r="E54" s="245">
        <v>15</v>
      </c>
      <c r="F54" s="245">
        <v>15</v>
      </c>
      <c r="G54" s="245">
        <v>75</v>
      </c>
      <c r="H54" s="245">
        <v>82</v>
      </c>
      <c r="I54" s="484">
        <v>7</v>
      </c>
      <c r="J54" s="485"/>
      <c r="K54" s="237">
        <f t="shared" si="1"/>
        <v>247</v>
      </c>
      <c r="L54" s="293"/>
      <c r="M54" s="489"/>
    </row>
    <row r="55" spans="1:13" s="244" customFormat="1" ht="14.85" customHeight="1">
      <c r="A55" s="487" t="s">
        <v>80</v>
      </c>
      <c r="B55" s="245">
        <v>6</v>
      </c>
      <c r="C55" s="245">
        <f>18</f>
        <v>18</v>
      </c>
      <c r="D55" s="245">
        <f>24</f>
        <v>24</v>
      </c>
      <c r="E55" s="245">
        <f>13</f>
        <v>13</v>
      </c>
      <c r="F55" s="245">
        <v>12</v>
      </c>
      <c r="G55" s="245">
        <v>68</v>
      </c>
      <c r="H55" s="245">
        <v>77</v>
      </c>
      <c r="I55" s="484">
        <v>7</v>
      </c>
      <c r="J55" s="484"/>
      <c r="K55" s="237">
        <f t="shared" si="1"/>
        <v>225</v>
      </c>
      <c r="M55" s="489"/>
    </row>
    <row r="56" spans="1:13" s="244" customFormat="1" ht="14.85" customHeight="1">
      <c r="A56" s="487" t="s">
        <v>81</v>
      </c>
      <c r="B56" s="245">
        <v>6</v>
      </c>
      <c r="C56" s="245">
        <v>17</v>
      </c>
      <c r="D56" s="245">
        <v>22</v>
      </c>
      <c r="E56" s="245">
        <f>13</f>
        <v>13</v>
      </c>
      <c r="F56" s="245">
        <v>12</v>
      </c>
      <c r="G56" s="245">
        <v>67</v>
      </c>
      <c r="H56" s="245">
        <v>75</v>
      </c>
      <c r="I56" s="484">
        <v>7</v>
      </c>
      <c r="J56" s="490"/>
      <c r="K56" s="237">
        <f t="shared" si="1"/>
        <v>219</v>
      </c>
      <c r="M56" s="489"/>
    </row>
    <row r="57" spans="1:13" s="244" customFormat="1" ht="14.85" customHeight="1">
      <c r="A57" s="487" t="s">
        <v>82</v>
      </c>
      <c r="B57" s="491">
        <v>7</v>
      </c>
      <c r="C57" s="245">
        <v>17</v>
      </c>
      <c r="D57" s="245">
        <v>23</v>
      </c>
      <c r="E57" s="245">
        <v>13</v>
      </c>
      <c r="F57" s="245">
        <v>11</v>
      </c>
      <c r="G57" s="245">
        <v>61</v>
      </c>
      <c r="H57" s="245">
        <v>74</v>
      </c>
      <c r="I57" s="484">
        <v>6</v>
      </c>
      <c r="J57" s="490"/>
      <c r="K57" s="237">
        <f>SUM(B57:J57)</f>
        <v>212</v>
      </c>
      <c r="M57" s="489"/>
    </row>
    <row r="58" spans="1:13" s="244" customFormat="1" ht="14.85" customHeight="1">
      <c r="A58" s="492" t="s">
        <v>237</v>
      </c>
      <c r="B58" s="493">
        <v>7</v>
      </c>
      <c r="C58" s="494">
        <v>17</v>
      </c>
      <c r="D58" s="494">
        <v>20</v>
      </c>
      <c r="E58" s="494">
        <v>14</v>
      </c>
      <c r="F58" s="494">
        <v>9</v>
      </c>
      <c r="G58" s="494">
        <v>56</v>
      </c>
      <c r="H58" s="494">
        <v>60</v>
      </c>
      <c r="I58" s="495">
        <v>6</v>
      </c>
      <c r="J58" s="496"/>
      <c r="K58" s="497">
        <f t="shared" si="1"/>
        <v>189</v>
      </c>
      <c r="M58" s="489"/>
    </row>
    <row r="59" spans="1:13" s="244" customFormat="1" ht="14.85" customHeight="1">
      <c r="A59" s="489"/>
      <c r="B59" s="245"/>
      <c r="C59" s="245"/>
      <c r="D59" s="245"/>
      <c r="E59" s="245"/>
      <c r="F59" s="245"/>
      <c r="G59" s="245"/>
      <c r="H59" s="245"/>
      <c r="I59" s="484"/>
      <c r="J59" s="490"/>
      <c r="K59" s="236"/>
      <c r="M59" s="489"/>
    </row>
    <row r="60" spans="1:13" s="256" customFormat="1" ht="23.1" hidden="1" customHeight="1">
      <c r="A60" s="477"/>
      <c r="B60" s="498">
        <f t="shared" ref="B60:I60" si="2">(B58-B56)/B56</f>
        <v>0.16666666666666666</v>
      </c>
      <c r="C60" s="498">
        <f t="shared" si="2"/>
        <v>0</v>
      </c>
      <c r="D60" s="498">
        <f t="shared" si="2"/>
        <v>-9.0909090909090912E-2</v>
      </c>
      <c r="E60" s="498">
        <f t="shared" si="2"/>
        <v>7.6923076923076927E-2</v>
      </c>
      <c r="F60" s="498">
        <f t="shared" si="2"/>
        <v>-0.25</v>
      </c>
      <c r="G60" s="498">
        <f t="shared" si="2"/>
        <v>-0.16417910447761194</v>
      </c>
      <c r="H60" s="498">
        <f t="shared" si="2"/>
        <v>-0.2</v>
      </c>
      <c r="I60" s="498">
        <f t="shared" si="2"/>
        <v>-0.14285714285714285</v>
      </c>
      <c r="J60" s="499"/>
      <c r="K60" s="498">
        <f>(K58-K56)/K56</f>
        <v>-0.13698630136986301</v>
      </c>
    </row>
    <row r="61" spans="1:13" s="256" customFormat="1" ht="17.100000000000001" customHeight="1">
      <c r="A61" s="500" t="s">
        <v>238</v>
      </c>
      <c r="B61" s="478" t="s">
        <v>239</v>
      </c>
      <c r="C61" s="478" t="s">
        <v>240</v>
      </c>
      <c r="D61" s="478" t="s">
        <v>241</v>
      </c>
      <c r="E61" s="478" t="s">
        <v>242</v>
      </c>
      <c r="F61" s="478" t="s">
        <v>243</v>
      </c>
      <c r="G61" s="478" t="s">
        <v>244</v>
      </c>
      <c r="H61" s="501"/>
      <c r="I61" s="478" t="s">
        <v>245</v>
      </c>
    </row>
    <row r="62" spans="1:13" ht="12.75" hidden="1" customHeight="1">
      <c r="A62" s="234" t="s">
        <v>61</v>
      </c>
      <c r="B62" s="502">
        <v>37</v>
      </c>
      <c r="C62" s="502">
        <v>5</v>
      </c>
      <c r="D62" s="502">
        <v>34</v>
      </c>
      <c r="E62" s="502">
        <v>9</v>
      </c>
      <c r="F62" s="502">
        <v>41</v>
      </c>
      <c r="G62" s="503">
        <f>SUM(B62:F62)</f>
        <v>126</v>
      </c>
      <c r="H62" s="502"/>
      <c r="I62" s="503">
        <f>560+126</f>
        <v>686</v>
      </c>
      <c r="L62" s="244"/>
      <c r="M62" s="244"/>
    </row>
    <row r="63" spans="1:13" ht="12.75" hidden="1" customHeight="1">
      <c r="A63" s="234" t="s">
        <v>63</v>
      </c>
      <c r="B63" s="504">
        <v>33</v>
      </c>
      <c r="C63" s="504">
        <v>5</v>
      </c>
      <c r="D63" s="504">
        <v>33</v>
      </c>
      <c r="E63" s="504">
        <v>6</v>
      </c>
      <c r="F63" s="504">
        <v>51</v>
      </c>
      <c r="G63" s="505">
        <v>128</v>
      </c>
      <c r="H63" s="504"/>
      <c r="I63" s="505">
        <v>648</v>
      </c>
      <c r="L63" s="244"/>
      <c r="M63" s="244"/>
    </row>
    <row r="64" spans="1:13" hidden="1">
      <c r="A64" s="243" t="s">
        <v>64</v>
      </c>
      <c r="B64" s="506">
        <v>31</v>
      </c>
      <c r="C64" s="506">
        <v>6</v>
      </c>
      <c r="D64" s="506">
        <v>56</v>
      </c>
      <c r="E64" s="506">
        <v>4</v>
      </c>
      <c r="F64" s="506">
        <v>45</v>
      </c>
      <c r="G64" s="507">
        <f t="shared" ref="G64:G72" si="3">SUM(B64:F64)</f>
        <v>142</v>
      </c>
      <c r="H64" s="506"/>
      <c r="I64" s="507">
        <v>630</v>
      </c>
      <c r="L64" s="244"/>
      <c r="M64" s="489"/>
    </row>
    <row r="65" spans="1:13" hidden="1">
      <c r="A65" s="243" t="s">
        <v>65</v>
      </c>
      <c r="B65" s="506">
        <f>26+2</f>
        <v>28</v>
      </c>
      <c r="C65" s="506">
        <v>4</v>
      </c>
      <c r="D65" s="506">
        <v>61</v>
      </c>
      <c r="E65" s="506">
        <v>5</v>
      </c>
      <c r="F65" s="506">
        <v>41</v>
      </c>
      <c r="G65" s="507">
        <f t="shared" si="3"/>
        <v>139</v>
      </c>
      <c r="H65" s="506"/>
      <c r="I65" s="507">
        <f>K39+G65</f>
        <v>613</v>
      </c>
      <c r="L65" s="244"/>
      <c r="M65" s="489"/>
    </row>
    <row r="66" spans="1:13" hidden="1">
      <c r="A66" s="243" t="s">
        <v>66</v>
      </c>
      <c r="B66" s="506">
        <v>22</v>
      </c>
      <c r="C66" s="506">
        <v>4</v>
      </c>
      <c r="D66" s="506">
        <v>45</v>
      </c>
      <c r="E66" s="506">
        <v>6</v>
      </c>
      <c r="F66" s="506">
        <v>40</v>
      </c>
      <c r="G66" s="507">
        <f t="shared" si="3"/>
        <v>117</v>
      </c>
      <c r="H66" s="506"/>
      <c r="I66" s="507">
        <f>K40+G66</f>
        <v>558</v>
      </c>
      <c r="L66" s="244"/>
      <c r="M66" s="489"/>
    </row>
    <row r="67" spans="1:13">
      <c r="A67" s="243" t="s">
        <v>67</v>
      </c>
      <c r="B67" s="506">
        <v>23</v>
      </c>
      <c r="C67" s="506">
        <v>4</v>
      </c>
      <c r="D67" s="506">
        <v>41</v>
      </c>
      <c r="E67" s="506">
        <v>8</v>
      </c>
      <c r="F67" s="506">
        <v>37</v>
      </c>
      <c r="G67" s="507">
        <f>SUM(B67:F67)</f>
        <v>113</v>
      </c>
      <c r="H67" s="506"/>
      <c r="I67" s="507">
        <v>539</v>
      </c>
      <c r="L67" s="244"/>
      <c r="M67" s="489"/>
    </row>
    <row r="68" spans="1:13" hidden="1">
      <c r="A68" s="243" t="s">
        <v>68</v>
      </c>
      <c r="B68" s="506">
        <v>21</v>
      </c>
      <c r="C68" s="506">
        <v>4</v>
      </c>
      <c r="D68" s="506">
        <v>36</v>
      </c>
      <c r="E68" s="506">
        <v>9</v>
      </c>
      <c r="F68" s="506">
        <v>35</v>
      </c>
      <c r="G68" s="507">
        <f t="shared" si="3"/>
        <v>105</v>
      </c>
      <c r="H68" s="506"/>
      <c r="I68" s="507">
        <f>K42+G68</f>
        <v>534</v>
      </c>
      <c r="L68" s="244"/>
      <c r="M68" s="489"/>
    </row>
    <row r="69" spans="1:13" hidden="1">
      <c r="A69" s="243" t="s">
        <v>69</v>
      </c>
      <c r="B69" s="506">
        <v>21</v>
      </c>
      <c r="C69" s="506">
        <v>4</v>
      </c>
      <c r="D69" s="506">
        <v>35</v>
      </c>
      <c r="E69" s="506">
        <v>9</v>
      </c>
      <c r="F69" s="506">
        <v>34</v>
      </c>
      <c r="G69" s="507">
        <f t="shared" si="3"/>
        <v>103</v>
      </c>
      <c r="H69" s="506"/>
      <c r="I69" s="507">
        <f>K43+G69</f>
        <v>515</v>
      </c>
      <c r="L69" s="244"/>
    </row>
    <row r="70" spans="1:13" s="244" customFormat="1" hidden="1">
      <c r="A70" s="487" t="s">
        <v>70</v>
      </c>
      <c r="B70" s="506">
        <v>19</v>
      </c>
      <c r="C70" s="506">
        <v>4</v>
      </c>
      <c r="D70" s="506">
        <v>32</v>
      </c>
      <c r="E70" s="506">
        <v>9</v>
      </c>
      <c r="F70" s="506">
        <v>34</v>
      </c>
      <c r="G70" s="507">
        <f>SUM(B70:F70)</f>
        <v>98</v>
      </c>
      <c r="H70" s="506"/>
      <c r="I70" s="507">
        <f>K44+G70</f>
        <v>488</v>
      </c>
      <c r="M70" s="489"/>
    </row>
    <row r="71" spans="1:13" s="244" customFormat="1">
      <c r="A71" s="487" t="s">
        <v>71</v>
      </c>
      <c r="B71" s="506">
        <v>19</v>
      </c>
      <c r="C71" s="506">
        <v>4</v>
      </c>
      <c r="D71" s="506">
        <v>31</v>
      </c>
      <c r="E71" s="506">
        <v>8</v>
      </c>
      <c r="F71" s="506">
        <v>34</v>
      </c>
      <c r="G71" s="507">
        <f>SUM(B71:F71)</f>
        <v>96</v>
      </c>
      <c r="H71" s="506"/>
      <c r="I71" s="507">
        <f>K45+G71</f>
        <v>465</v>
      </c>
      <c r="M71" s="489"/>
    </row>
    <row r="72" spans="1:13">
      <c r="A72" s="487" t="s">
        <v>168</v>
      </c>
      <c r="B72" s="506">
        <v>12</v>
      </c>
      <c r="C72" s="506">
        <v>3</v>
      </c>
      <c r="D72" s="506">
        <v>27</v>
      </c>
      <c r="E72" s="506">
        <v>7</v>
      </c>
      <c r="F72" s="506">
        <v>22</v>
      </c>
      <c r="G72" s="507">
        <f t="shared" si="3"/>
        <v>71</v>
      </c>
      <c r="H72" s="506"/>
      <c r="I72" s="507">
        <f>K46+G72</f>
        <v>361</v>
      </c>
      <c r="L72" s="244"/>
      <c r="M72" s="489"/>
    </row>
    <row r="73" spans="1:13" hidden="1">
      <c r="A73" s="487" t="s">
        <v>72</v>
      </c>
      <c r="B73" s="506">
        <v>12</v>
      </c>
      <c r="C73" s="506">
        <v>3</v>
      </c>
      <c r="D73" s="506">
        <v>27</v>
      </c>
      <c r="E73" s="506">
        <v>6</v>
      </c>
      <c r="F73" s="506">
        <v>19</v>
      </c>
      <c r="G73" s="507">
        <v>67</v>
      </c>
      <c r="H73" s="506"/>
      <c r="I73" s="507">
        <v>345</v>
      </c>
      <c r="L73" s="244"/>
      <c r="M73" s="489"/>
    </row>
    <row r="74" spans="1:13" hidden="1">
      <c r="A74" s="487" t="s">
        <v>73</v>
      </c>
      <c r="B74" s="506">
        <v>12</v>
      </c>
      <c r="C74" s="506">
        <v>3</v>
      </c>
      <c r="D74" s="506">
        <v>26</v>
      </c>
      <c r="E74" s="506">
        <v>6</v>
      </c>
      <c r="F74" s="506">
        <v>18</v>
      </c>
      <c r="G74" s="507">
        <v>65</v>
      </c>
      <c r="H74" s="506"/>
      <c r="I74" s="507">
        <v>347</v>
      </c>
      <c r="L74" s="244"/>
      <c r="M74" s="244"/>
    </row>
    <row r="75" spans="1:13" hidden="1">
      <c r="A75" s="487" t="s">
        <v>74</v>
      </c>
      <c r="B75" s="506">
        <v>10</v>
      </c>
      <c r="C75" s="506">
        <v>3</v>
      </c>
      <c r="D75" s="506">
        <v>26</v>
      </c>
      <c r="E75" s="506">
        <v>6</v>
      </c>
      <c r="F75" s="506">
        <v>18</v>
      </c>
      <c r="G75" s="507">
        <f t="shared" ref="G75:G84" si="4">SUM(B75:F75)</f>
        <v>63</v>
      </c>
      <c r="H75" s="506"/>
      <c r="I75" s="507">
        <v>336</v>
      </c>
    </row>
    <row r="76" spans="1:13">
      <c r="A76" s="487" t="s">
        <v>75</v>
      </c>
      <c r="B76" s="506">
        <v>10</v>
      </c>
      <c r="C76" s="506">
        <v>3</v>
      </c>
      <c r="D76" s="506">
        <v>26</v>
      </c>
      <c r="E76" s="506">
        <v>5</v>
      </c>
      <c r="F76" s="506">
        <v>17</v>
      </c>
      <c r="G76" s="507">
        <f t="shared" si="4"/>
        <v>61</v>
      </c>
      <c r="H76" s="506"/>
      <c r="I76" s="507">
        <v>333</v>
      </c>
    </row>
    <row r="77" spans="1:13">
      <c r="A77" s="487" t="s">
        <v>76</v>
      </c>
      <c r="B77" s="506">
        <v>10</v>
      </c>
      <c r="C77" s="506">
        <v>3</v>
      </c>
      <c r="D77" s="506">
        <v>25</v>
      </c>
      <c r="E77" s="506">
        <v>5</v>
      </c>
      <c r="F77" s="506">
        <v>16</v>
      </c>
      <c r="G77" s="507">
        <f t="shared" si="4"/>
        <v>59</v>
      </c>
      <c r="H77" s="506"/>
      <c r="I77" s="507">
        <v>318</v>
      </c>
    </row>
    <row r="78" spans="1:13" s="244" customFormat="1">
      <c r="A78" s="487" t="s">
        <v>77</v>
      </c>
      <c r="B78" s="506">
        <v>10</v>
      </c>
      <c r="C78" s="506">
        <v>3</v>
      </c>
      <c r="D78" s="506">
        <v>25</v>
      </c>
      <c r="E78" s="506">
        <v>6</v>
      </c>
      <c r="F78" s="506">
        <v>16</v>
      </c>
      <c r="G78" s="507">
        <f t="shared" si="4"/>
        <v>60</v>
      </c>
      <c r="H78" s="506"/>
      <c r="I78" s="507">
        <f t="shared" ref="I78:I84" si="5">K52+G78</f>
        <v>317</v>
      </c>
    </row>
    <row r="79" spans="1:13" s="244" customFormat="1">
      <c r="A79" s="487" t="s">
        <v>78</v>
      </c>
      <c r="B79" s="506">
        <v>9</v>
      </c>
      <c r="C79" s="506">
        <v>3</v>
      </c>
      <c r="D79" s="506">
        <v>25</v>
      </c>
      <c r="E79" s="506">
        <v>6</v>
      </c>
      <c r="F79" s="506">
        <v>15</v>
      </c>
      <c r="G79" s="507">
        <f t="shared" si="4"/>
        <v>58</v>
      </c>
      <c r="H79" s="506"/>
      <c r="I79" s="507">
        <f t="shared" si="5"/>
        <v>308</v>
      </c>
    </row>
    <row r="80" spans="1:13" s="244" customFormat="1">
      <c r="A80" s="487" t="s">
        <v>79</v>
      </c>
      <c r="B80" s="506">
        <v>10</v>
      </c>
      <c r="C80" s="508" t="s">
        <v>134</v>
      </c>
      <c r="D80" s="506">
        <v>25</v>
      </c>
      <c r="E80" s="506">
        <v>5</v>
      </c>
      <c r="F80" s="509">
        <v>15</v>
      </c>
      <c r="G80" s="507">
        <f t="shared" si="4"/>
        <v>55</v>
      </c>
      <c r="H80" s="506"/>
      <c r="I80" s="507">
        <f t="shared" si="5"/>
        <v>302</v>
      </c>
    </row>
    <row r="81" spans="1:248" s="244" customFormat="1">
      <c r="A81" s="487" t="s">
        <v>80</v>
      </c>
      <c r="B81" s="510">
        <v>9</v>
      </c>
      <c r="C81" s="508" t="s">
        <v>134</v>
      </c>
      <c r="D81" s="506">
        <f>[2]Tabelle1!$N$277</f>
        <v>20</v>
      </c>
      <c r="E81" s="506">
        <v>5</v>
      </c>
      <c r="F81" s="509">
        <v>12</v>
      </c>
      <c r="G81" s="507">
        <f t="shared" si="4"/>
        <v>46</v>
      </c>
      <c r="H81" s="506"/>
      <c r="I81" s="507">
        <f t="shared" si="5"/>
        <v>271</v>
      </c>
    </row>
    <row r="82" spans="1:248" s="244" customFormat="1">
      <c r="A82" s="487" t="s">
        <v>81</v>
      </c>
      <c r="B82" s="510">
        <v>8</v>
      </c>
      <c r="C82" s="508" t="s">
        <v>134</v>
      </c>
      <c r="D82" s="506">
        <v>17</v>
      </c>
      <c r="E82" s="508" t="s">
        <v>134</v>
      </c>
      <c r="F82" s="509">
        <v>17</v>
      </c>
      <c r="G82" s="507">
        <f t="shared" si="4"/>
        <v>42</v>
      </c>
      <c r="H82" s="506"/>
      <c r="I82" s="507">
        <f t="shared" si="5"/>
        <v>261</v>
      </c>
    </row>
    <row r="83" spans="1:248" s="244" customFormat="1" ht="12" customHeight="1">
      <c r="A83" s="487" t="s">
        <v>82</v>
      </c>
      <c r="B83" s="510">
        <v>9</v>
      </c>
      <c r="C83" s="508" t="s">
        <v>134</v>
      </c>
      <c r="D83" s="506">
        <v>17</v>
      </c>
      <c r="E83" s="508" t="s">
        <v>134</v>
      </c>
      <c r="F83" s="509">
        <v>14</v>
      </c>
      <c r="G83" s="507">
        <f>SUM(B83:F83)</f>
        <v>40</v>
      </c>
      <c r="H83" s="511"/>
      <c r="I83" s="507">
        <f t="shared" si="5"/>
        <v>252</v>
      </c>
      <c r="J83" s="511"/>
    </row>
    <row r="84" spans="1:248" ht="12.95" customHeight="1">
      <c r="A84" s="492" t="s">
        <v>237</v>
      </c>
      <c r="B84" s="512">
        <v>5</v>
      </c>
      <c r="C84" s="513" t="s">
        <v>134</v>
      </c>
      <c r="D84" s="514">
        <v>11</v>
      </c>
      <c r="E84" s="513" t="s">
        <v>134</v>
      </c>
      <c r="F84" s="515">
        <v>13</v>
      </c>
      <c r="G84" s="516">
        <f t="shared" si="4"/>
        <v>29</v>
      </c>
      <c r="H84" s="517"/>
      <c r="I84" s="516">
        <f t="shared" si="5"/>
        <v>218</v>
      </c>
      <c r="J84" s="517"/>
    </row>
    <row r="85" spans="1:248" ht="12" customHeight="1">
      <c r="A85" s="517"/>
      <c r="B85" s="498"/>
      <c r="C85" s="498"/>
      <c r="D85" s="498"/>
      <c r="E85" s="498"/>
      <c r="F85" s="498"/>
      <c r="G85" s="517"/>
      <c r="H85" s="517"/>
      <c r="I85" s="517"/>
      <c r="J85" s="517"/>
    </row>
    <row r="86" spans="1:248" ht="12.75" hidden="1" customHeight="1">
      <c r="A86" s="498"/>
      <c r="B86" s="498">
        <f>(B84-B82)/B82</f>
        <v>-0.375</v>
      </c>
      <c r="C86" s="498"/>
      <c r="D86" s="498">
        <f>(D84-D82)/D82</f>
        <v>-0.35294117647058826</v>
      </c>
      <c r="E86" s="498"/>
      <c r="F86" s="498">
        <f>(F84-F82)/F82</f>
        <v>-0.23529411764705882</v>
      </c>
      <c r="G86" s="498"/>
      <c r="H86" s="498"/>
      <c r="I86" s="498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498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8"/>
      <c r="AL86" s="498"/>
      <c r="AM86" s="498"/>
      <c r="AN86" s="498"/>
      <c r="AO86" s="498"/>
      <c r="AP86" s="498"/>
      <c r="AQ86" s="498"/>
      <c r="AR86" s="498"/>
      <c r="AS86" s="498"/>
      <c r="AT86" s="498"/>
      <c r="AU86" s="498"/>
      <c r="AV86" s="498"/>
      <c r="AW86" s="498"/>
      <c r="AX86" s="498"/>
      <c r="AY86" s="498"/>
      <c r="AZ86" s="498"/>
      <c r="BA86" s="498"/>
      <c r="BB86" s="498"/>
      <c r="BC86" s="498"/>
      <c r="BD86" s="498"/>
      <c r="BE86" s="498"/>
      <c r="BF86" s="498"/>
      <c r="BG86" s="498"/>
      <c r="BH86" s="498"/>
      <c r="BI86" s="498"/>
      <c r="BJ86" s="498"/>
      <c r="BK86" s="498"/>
      <c r="BL86" s="498"/>
      <c r="BM86" s="498"/>
      <c r="BN86" s="498"/>
      <c r="BO86" s="498"/>
      <c r="BP86" s="498"/>
      <c r="BQ86" s="498"/>
      <c r="BR86" s="498"/>
      <c r="BS86" s="498"/>
      <c r="BT86" s="498"/>
      <c r="BU86" s="498"/>
      <c r="BV86" s="498"/>
      <c r="BW86" s="498"/>
      <c r="BX86" s="498"/>
      <c r="BY86" s="498"/>
      <c r="BZ86" s="498"/>
      <c r="CA86" s="498"/>
      <c r="CB86" s="498"/>
      <c r="CC86" s="498"/>
      <c r="CD86" s="498"/>
      <c r="CE86" s="498"/>
      <c r="CF86" s="498"/>
      <c r="CG86" s="498"/>
      <c r="CH86" s="498"/>
      <c r="CI86" s="498"/>
      <c r="CJ86" s="498"/>
      <c r="CK86" s="498"/>
      <c r="CL86" s="498"/>
      <c r="CM86" s="498"/>
      <c r="CN86" s="498"/>
      <c r="CO86" s="498"/>
      <c r="CP86" s="498"/>
      <c r="CQ86" s="498"/>
      <c r="CR86" s="498"/>
      <c r="CS86" s="498"/>
      <c r="CT86" s="498"/>
      <c r="CU86" s="498"/>
      <c r="CV86" s="498"/>
      <c r="CW86" s="498"/>
      <c r="CX86" s="498"/>
      <c r="CY86" s="498"/>
      <c r="CZ86" s="498"/>
      <c r="DA86" s="498"/>
      <c r="DB86" s="498"/>
      <c r="DC86" s="498"/>
      <c r="DD86" s="498"/>
      <c r="DE86" s="498"/>
      <c r="DF86" s="498"/>
      <c r="DG86" s="498"/>
      <c r="DH86" s="498"/>
      <c r="DI86" s="498"/>
      <c r="DJ86" s="498"/>
      <c r="DK86" s="498"/>
      <c r="DL86" s="498"/>
      <c r="DM86" s="498"/>
      <c r="DN86" s="498"/>
      <c r="DO86" s="498"/>
      <c r="DP86" s="498"/>
      <c r="DQ86" s="498"/>
      <c r="DR86" s="498"/>
      <c r="DS86" s="498"/>
      <c r="DT86" s="498"/>
      <c r="DU86" s="498"/>
      <c r="DV86" s="498"/>
      <c r="DW86" s="498"/>
      <c r="DX86" s="498"/>
      <c r="DY86" s="498"/>
      <c r="DZ86" s="498"/>
      <c r="EA86" s="498"/>
      <c r="EB86" s="498"/>
      <c r="EC86" s="498"/>
      <c r="ED86" s="498"/>
      <c r="EE86" s="498"/>
      <c r="EF86" s="498"/>
      <c r="EG86" s="498"/>
      <c r="EH86" s="498"/>
      <c r="EI86" s="498"/>
      <c r="EJ86" s="498"/>
      <c r="EK86" s="498"/>
      <c r="EL86" s="498"/>
      <c r="EM86" s="498"/>
      <c r="EN86" s="498"/>
      <c r="EO86" s="498"/>
      <c r="EP86" s="498"/>
      <c r="EQ86" s="498"/>
      <c r="ER86" s="498"/>
      <c r="ES86" s="498"/>
      <c r="ET86" s="498"/>
      <c r="EU86" s="498"/>
      <c r="EV86" s="498"/>
      <c r="EW86" s="498"/>
      <c r="EX86" s="498"/>
      <c r="EY86" s="498"/>
      <c r="EZ86" s="498"/>
      <c r="FA86" s="498"/>
      <c r="FB86" s="498"/>
      <c r="FC86" s="498"/>
      <c r="FD86" s="498"/>
      <c r="FE86" s="498"/>
      <c r="FF86" s="498"/>
      <c r="FG86" s="498"/>
      <c r="FH86" s="498"/>
      <c r="FI86" s="498"/>
      <c r="FJ86" s="498"/>
      <c r="FK86" s="498"/>
      <c r="FL86" s="498"/>
      <c r="FM86" s="498"/>
      <c r="FN86" s="498"/>
      <c r="FO86" s="498"/>
      <c r="FP86" s="498"/>
      <c r="FQ86" s="498"/>
      <c r="FR86" s="498"/>
      <c r="FS86" s="498"/>
      <c r="FT86" s="498"/>
      <c r="FU86" s="498"/>
      <c r="FV86" s="498"/>
      <c r="FW86" s="498"/>
      <c r="FX86" s="498"/>
      <c r="FY86" s="498"/>
      <c r="FZ86" s="498"/>
      <c r="GA86" s="498"/>
      <c r="GB86" s="498"/>
      <c r="GC86" s="498"/>
      <c r="GD86" s="498"/>
      <c r="GE86" s="498"/>
      <c r="GF86" s="498"/>
      <c r="GG86" s="498"/>
      <c r="GH86" s="498"/>
      <c r="GI86" s="498"/>
      <c r="GJ86" s="498"/>
      <c r="GK86" s="498"/>
      <c r="GL86" s="498"/>
      <c r="GM86" s="498"/>
      <c r="GN86" s="498"/>
      <c r="GO86" s="498"/>
      <c r="GP86" s="498"/>
      <c r="GQ86" s="498"/>
      <c r="GR86" s="498"/>
      <c r="GS86" s="498"/>
      <c r="GT86" s="498"/>
      <c r="GU86" s="498"/>
      <c r="GV86" s="498"/>
      <c r="GW86" s="498"/>
      <c r="GX86" s="498"/>
      <c r="GY86" s="498"/>
      <c r="GZ86" s="498"/>
      <c r="HA86" s="498"/>
      <c r="HB86" s="498"/>
      <c r="HC86" s="498"/>
      <c r="HD86" s="498"/>
      <c r="HE86" s="498"/>
      <c r="HF86" s="498"/>
      <c r="HG86" s="498"/>
      <c r="HH86" s="498"/>
      <c r="HI86" s="498"/>
      <c r="HJ86" s="498"/>
      <c r="HK86" s="498"/>
      <c r="HL86" s="498"/>
      <c r="HM86" s="498"/>
      <c r="HN86" s="498"/>
      <c r="HO86" s="498"/>
      <c r="HP86" s="498"/>
      <c r="HQ86" s="498"/>
      <c r="HR86" s="498"/>
      <c r="HS86" s="498"/>
      <c r="HT86" s="498"/>
      <c r="HU86" s="498"/>
      <c r="HV86" s="498"/>
      <c r="HW86" s="498"/>
      <c r="HX86" s="498"/>
      <c r="HY86" s="498"/>
      <c r="HZ86" s="498"/>
      <c r="IA86" s="498"/>
      <c r="IB86" s="498"/>
      <c r="IC86" s="498"/>
      <c r="ID86" s="498"/>
      <c r="IE86" s="498"/>
      <c r="IF86" s="498"/>
      <c r="IG86" s="498"/>
      <c r="IH86" s="498"/>
      <c r="II86" s="498"/>
      <c r="IJ86" s="498"/>
      <c r="IK86" s="498"/>
      <c r="IL86" s="498"/>
      <c r="IM86" s="498"/>
      <c r="IN86" s="498"/>
    </row>
    <row r="87" spans="1:248" s="520" customFormat="1">
      <c r="A87" s="518"/>
      <c r="B87" s="519"/>
      <c r="C87" s="519" t="s">
        <v>246</v>
      </c>
      <c r="D87" s="519"/>
      <c r="E87" s="519"/>
      <c r="F87" s="519"/>
      <c r="H87" s="521"/>
    </row>
    <row r="88" spans="1:248" s="520" customFormat="1" ht="14.25">
      <c r="A88" s="500" t="s">
        <v>238</v>
      </c>
      <c r="B88" s="522" t="s">
        <v>247</v>
      </c>
      <c r="C88" s="522" t="s">
        <v>248</v>
      </c>
      <c r="D88" s="522" t="s">
        <v>249</v>
      </c>
      <c r="E88" s="523" t="s">
        <v>250</v>
      </c>
      <c r="F88" s="524" t="s">
        <v>245</v>
      </c>
    </row>
    <row r="89" spans="1:248" s="520" customFormat="1">
      <c r="A89" s="525" t="s">
        <v>198</v>
      </c>
      <c r="B89" s="244">
        <f>SUM($B$45:$C$45)</f>
        <v>44</v>
      </c>
      <c r="C89" s="244">
        <f>SUM($D$45:$F$45,$I$45)</f>
        <v>95</v>
      </c>
      <c r="D89" s="244">
        <f>SUM($G$45:$H$45)</f>
        <v>230</v>
      </c>
      <c r="E89" s="296">
        <f>SUM($B$71:$F$71)</f>
        <v>96</v>
      </c>
      <c r="F89" s="526">
        <f>SUM(B89:E89)</f>
        <v>465</v>
      </c>
    </row>
    <row r="90" spans="1:248" s="520" customFormat="1">
      <c r="A90" s="487" t="s">
        <v>168</v>
      </c>
      <c r="B90" s="244">
        <f>SUM($B$46:$C$46)</f>
        <v>36</v>
      </c>
      <c r="C90" s="244">
        <f>SUM($D$46:$F$46,$I$46)</f>
        <v>80</v>
      </c>
      <c r="D90" s="244">
        <f>SUM($G$46:$H$46)</f>
        <v>174</v>
      </c>
      <c r="E90" s="296">
        <f>SUM($B$72:$F$72)</f>
        <v>71</v>
      </c>
      <c r="F90" s="526">
        <f t="shared" ref="F90:F99" si="6">SUM(B90:E90)</f>
        <v>361</v>
      </c>
    </row>
    <row r="91" spans="1:248" s="520" customFormat="1" hidden="1">
      <c r="A91" s="487" t="s">
        <v>72</v>
      </c>
      <c r="B91" s="244">
        <f>SUM($B$47:$C$47)</f>
        <v>33</v>
      </c>
      <c r="C91" s="244">
        <f>SUM($D$47:$F$47,$I$47)</f>
        <v>78</v>
      </c>
      <c r="D91" s="244">
        <f>SUM($G$47:$H$47)</f>
        <v>167</v>
      </c>
      <c r="E91" s="296">
        <f>SUM($B$73:$F$73)</f>
        <v>67</v>
      </c>
      <c r="F91" s="526">
        <f t="shared" si="6"/>
        <v>345</v>
      </c>
    </row>
    <row r="92" spans="1:248" s="520" customFormat="1" hidden="1">
      <c r="A92" s="487" t="s">
        <v>73</v>
      </c>
      <c r="B92" s="244">
        <f>SUM($B$48:$C$48)</f>
        <v>34</v>
      </c>
      <c r="C92" s="244">
        <f>SUM($D$48:$F$48,$I$48)</f>
        <v>77</v>
      </c>
      <c r="D92" s="244">
        <f>SUM($G$48:$H$48)</f>
        <v>171</v>
      </c>
      <c r="E92" s="296">
        <f>SUM($B$74:$F$74)</f>
        <v>65</v>
      </c>
      <c r="F92" s="526">
        <f t="shared" si="6"/>
        <v>347</v>
      </c>
    </row>
    <row r="93" spans="1:248" s="520" customFormat="1" hidden="1">
      <c r="A93" s="487" t="s">
        <v>74</v>
      </c>
      <c r="B93" s="244">
        <f>SUM($B$49:$C$49)</f>
        <v>33</v>
      </c>
      <c r="C93" s="244">
        <f>SUM($D$49:$F$49,$I$49)</f>
        <v>74</v>
      </c>
      <c r="D93" s="244">
        <f>SUM($G$49:$H$49)</f>
        <v>166</v>
      </c>
      <c r="E93" s="296">
        <f>SUM($B$75:$F$75)</f>
        <v>63</v>
      </c>
      <c r="F93" s="526">
        <f t="shared" si="6"/>
        <v>336</v>
      </c>
      <c r="G93" s="527"/>
    </row>
    <row r="94" spans="1:248" s="520" customFormat="1">
      <c r="A94" s="487" t="s">
        <v>75</v>
      </c>
      <c r="B94" s="244">
        <f>SUM($B$50:$C$50)</f>
        <v>31</v>
      </c>
      <c r="C94" s="244">
        <f>SUM($D$50:$F$50,$I$50)</f>
        <v>73</v>
      </c>
      <c r="D94" s="244">
        <f>SUM($G$50:$H$50)</f>
        <v>168</v>
      </c>
      <c r="E94" s="296">
        <f>SUM($B$76:$F$76)</f>
        <v>61</v>
      </c>
      <c r="F94" s="526">
        <f t="shared" si="6"/>
        <v>333</v>
      </c>
    </row>
    <row r="95" spans="1:248" s="520" customFormat="1">
      <c r="A95" s="487" t="s">
        <v>76</v>
      </c>
      <c r="B95" s="244">
        <f>SUM($B$51:$C$51)</f>
        <v>26</v>
      </c>
      <c r="C95" s="244">
        <f>SUM($D$51:$F$51,$I$51)</f>
        <v>69</v>
      </c>
      <c r="D95" s="244">
        <f>SUM($G$51:$H$51)</f>
        <v>164</v>
      </c>
      <c r="E95" s="296">
        <f>SUM($B$77:$F$77)</f>
        <v>59</v>
      </c>
      <c r="F95" s="526">
        <f t="shared" si="6"/>
        <v>318</v>
      </c>
      <c r="G95" s="206"/>
    </row>
    <row r="96" spans="1:248" s="520" customFormat="1">
      <c r="A96" s="487" t="s">
        <v>77</v>
      </c>
      <c r="B96" s="244">
        <f>SUM($B$52:$C$52)</f>
        <v>29</v>
      </c>
      <c r="C96" s="244">
        <f>SUM($D$52:$F$52,$I$52)</f>
        <v>66</v>
      </c>
      <c r="D96" s="244">
        <f>SUM($G$52:$H$52)</f>
        <v>162</v>
      </c>
      <c r="E96" s="296">
        <f>SUM($B$78:$F$78)</f>
        <v>60</v>
      </c>
      <c r="F96" s="526">
        <f t="shared" si="6"/>
        <v>317</v>
      </c>
      <c r="G96" s="206"/>
      <c r="H96" s="521"/>
    </row>
    <row r="97" spans="1:7">
      <c r="A97" s="487" t="s">
        <v>78</v>
      </c>
      <c r="B97" s="244">
        <f>SUM($B$53:$C$53)</f>
        <v>27</v>
      </c>
      <c r="C97" s="244">
        <f>SUM($D$53:$F$53,$I$53)</f>
        <v>65</v>
      </c>
      <c r="D97" s="244">
        <f>SUM($G$53:$H$53)</f>
        <v>158</v>
      </c>
      <c r="E97" s="296">
        <f>SUM($B$79:$F$79)</f>
        <v>58</v>
      </c>
      <c r="F97" s="526">
        <f t="shared" si="6"/>
        <v>308</v>
      </c>
    </row>
    <row r="98" spans="1:7">
      <c r="A98" s="487" t="s">
        <v>79</v>
      </c>
      <c r="B98" s="244">
        <f>SUM($B$54:$C$54)</f>
        <v>27</v>
      </c>
      <c r="C98" s="244">
        <f>SUM($D$54:$F$54,$I$54)</f>
        <v>63</v>
      </c>
      <c r="D98" s="244">
        <f>SUM($G$54:$H$54)</f>
        <v>157</v>
      </c>
      <c r="E98" s="296">
        <f>SUM($B$80:$F$80)</f>
        <v>55</v>
      </c>
      <c r="F98" s="526">
        <f t="shared" si="6"/>
        <v>302</v>
      </c>
    </row>
    <row r="99" spans="1:7">
      <c r="A99" s="487" t="s">
        <v>80</v>
      </c>
      <c r="B99" s="293">
        <f>SUM($B$55:$C$55)</f>
        <v>24</v>
      </c>
      <c r="C99" s="244">
        <f>SUM($D$55:$F$55,$I$55)</f>
        <v>56</v>
      </c>
      <c r="D99" s="244">
        <f>SUM($G$55:$H$55)</f>
        <v>145</v>
      </c>
      <c r="E99" s="296">
        <v>46</v>
      </c>
      <c r="F99" s="526">
        <f t="shared" si="6"/>
        <v>271</v>
      </c>
      <c r="G99" s="244"/>
    </row>
    <row r="100" spans="1:7">
      <c r="A100" s="487" t="s">
        <v>81</v>
      </c>
      <c r="B100" s="293">
        <v>23</v>
      </c>
      <c r="C100" s="244">
        <v>54</v>
      </c>
      <c r="D100" s="244">
        <v>142</v>
      </c>
      <c r="E100" s="296">
        <v>42</v>
      </c>
      <c r="F100" s="526">
        <f>SUM(B100:E100)</f>
        <v>261</v>
      </c>
      <c r="G100" s="244"/>
    </row>
    <row r="101" spans="1:7">
      <c r="A101" s="487" t="s">
        <v>82</v>
      </c>
      <c r="B101" s="293">
        <v>24</v>
      </c>
      <c r="C101" s="244">
        <v>53</v>
      </c>
      <c r="D101" s="244">
        <v>135</v>
      </c>
      <c r="E101" s="296">
        <v>40</v>
      </c>
      <c r="F101" s="526">
        <v>252</v>
      </c>
      <c r="G101" s="244"/>
    </row>
    <row r="102" spans="1:7" ht="14.25">
      <c r="A102" s="492" t="s">
        <v>237</v>
      </c>
      <c r="B102" s="528">
        <v>24</v>
      </c>
      <c r="C102" s="316">
        <v>49</v>
      </c>
      <c r="D102" s="316">
        <v>116</v>
      </c>
      <c r="E102" s="529">
        <v>29</v>
      </c>
      <c r="F102" s="530">
        <f>SUM(B102:E102)</f>
        <v>218</v>
      </c>
      <c r="G102" s="244"/>
    </row>
    <row r="103" spans="1:7" ht="3" customHeight="1"/>
    <row r="104" spans="1:7">
      <c r="A104" s="338" t="s">
        <v>251</v>
      </c>
      <c r="B104" s="520"/>
      <c r="C104" s="520"/>
      <c r="D104" s="520"/>
      <c r="E104" s="520"/>
      <c r="F104" s="338"/>
    </row>
    <row r="105" spans="1:7">
      <c r="A105" s="338" t="s">
        <v>252</v>
      </c>
      <c r="B105" s="520"/>
      <c r="C105" s="520"/>
      <c r="D105" s="520"/>
      <c r="E105" s="520"/>
      <c r="F105" s="520"/>
    </row>
    <row r="106" spans="1:7">
      <c r="A106" s="338" t="s">
        <v>253</v>
      </c>
      <c r="B106" s="520"/>
      <c r="C106" s="520"/>
      <c r="D106" s="520"/>
      <c r="E106" s="520"/>
      <c r="F106" s="520"/>
    </row>
    <row r="107" spans="1:7">
      <c r="A107" s="338" t="s">
        <v>254</v>
      </c>
      <c r="B107" s="520"/>
      <c r="C107" s="520"/>
      <c r="D107" s="520"/>
      <c r="E107" s="520"/>
      <c r="F107" s="520"/>
    </row>
    <row r="108" spans="1:7">
      <c r="A108" s="338" t="s">
        <v>255</v>
      </c>
      <c r="B108" s="520"/>
      <c r="C108" s="520"/>
      <c r="D108" s="520"/>
      <c r="E108" s="520"/>
      <c r="F108" s="520"/>
    </row>
    <row r="109" spans="1:7">
      <c r="A109" s="338" t="s">
        <v>256</v>
      </c>
      <c r="B109" s="520"/>
      <c r="C109" s="520"/>
      <c r="D109" s="520"/>
      <c r="E109" s="520"/>
      <c r="F109" s="520"/>
    </row>
    <row r="110" spans="1:7">
      <c r="A110" s="520" t="s">
        <v>257</v>
      </c>
      <c r="B110" s="527"/>
      <c r="C110" s="527"/>
      <c r="D110" s="527"/>
      <c r="E110" s="527"/>
      <c r="F110" s="527"/>
    </row>
    <row r="111" spans="1:7">
      <c r="A111" s="520" t="s">
        <v>258</v>
      </c>
      <c r="B111" s="520"/>
      <c r="C111" s="520"/>
      <c r="D111" s="520"/>
      <c r="E111" s="520"/>
      <c r="F111" s="520"/>
    </row>
    <row r="112" spans="1:7">
      <c r="A112" s="520" t="s">
        <v>259</v>
      </c>
    </row>
    <row r="113" spans="1:1">
      <c r="A113" s="531" t="s">
        <v>260</v>
      </c>
    </row>
  </sheetData>
  <pageMargins left="0.78740157480314965" right="0.78740157480314965" top="0.98425196850393704" bottom="0.98425196850393704" header="0.51181102362204722" footer="0.51181102362204722"/>
  <pageSetup paperSize="9" scale="80" orientation="portrait" horizontalDpi="4294967292" verticalDpi="4294967292" r:id="rId1"/>
  <headerFooter alignWithMargins="0">
    <oddHeader>&amp;LBundesanstalt für Landwirtschaft 
und Ernährung Ref. 423&amp;CStruktur der Mühlenwirtschaft
WJ 2012/13</oddHeader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IP157"/>
  <sheetViews>
    <sheetView showGridLines="0" zoomScaleNormal="100" workbookViewId="0">
      <selection sqref="A1:G17"/>
    </sheetView>
  </sheetViews>
  <sheetFormatPr baseColWidth="10" defaultColWidth="9.7109375" defaultRowHeight="12.75"/>
  <cols>
    <col min="1" max="1" width="10.42578125" style="206" customWidth="1"/>
    <col min="2" max="2" width="16.28515625" style="206" customWidth="1"/>
    <col min="3" max="6" width="9.7109375" style="206" customWidth="1"/>
    <col min="7" max="7" width="11.7109375" style="206" bestFit="1" customWidth="1"/>
    <col min="8" max="8" width="11.28515625" style="206" bestFit="1" customWidth="1"/>
    <col min="9" max="9" width="12.42578125" style="206" bestFit="1" customWidth="1"/>
    <col min="10" max="250" width="9.7109375" style="206"/>
    <col min="251" max="251" width="10.42578125" style="206" customWidth="1"/>
    <col min="252" max="252" width="16.28515625" style="206" customWidth="1"/>
    <col min="253" max="256" width="9.7109375" style="206" customWidth="1"/>
    <col min="257" max="257" width="11.7109375" style="206" bestFit="1" customWidth="1"/>
    <col min="258" max="258" width="11.28515625" style="206" bestFit="1" customWidth="1"/>
    <col min="259" max="259" width="12.42578125" style="206" bestFit="1" customWidth="1"/>
    <col min="260" max="260" width="12.140625" style="206" bestFit="1" customWidth="1"/>
    <col min="261" max="506" width="9.7109375" style="206"/>
    <col min="507" max="507" width="10.42578125" style="206" customWidth="1"/>
    <col min="508" max="508" width="16.28515625" style="206" customWidth="1"/>
    <col min="509" max="512" width="9.7109375" style="206" customWidth="1"/>
    <col min="513" max="513" width="11.7109375" style="206" bestFit="1" customWidth="1"/>
    <col min="514" max="514" width="11.28515625" style="206" bestFit="1" customWidth="1"/>
    <col min="515" max="515" width="12.42578125" style="206" bestFit="1" customWidth="1"/>
    <col min="516" max="516" width="12.140625" style="206" bestFit="1" customWidth="1"/>
    <col min="517" max="762" width="9.7109375" style="206"/>
    <col min="763" max="763" width="10.42578125" style="206" customWidth="1"/>
    <col min="764" max="764" width="16.28515625" style="206" customWidth="1"/>
    <col min="765" max="768" width="9.7109375" style="206" customWidth="1"/>
    <col min="769" max="769" width="11.7109375" style="206" bestFit="1" customWidth="1"/>
    <col min="770" max="770" width="11.28515625" style="206" bestFit="1" customWidth="1"/>
    <col min="771" max="771" width="12.42578125" style="206" bestFit="1" customWidth="1"/>
    <col min="772" max="772" width="12.140625" style="206" bestFit="1" customWidth="1"/>
    <col min="773" max="1018" width="9.7109375" style="206"/>
    <col min="1019" max="1019" width="10.42578125" style="206" customWidth="1"/>
    <col min="1020" max="1020" width="16.28515625" style="206" customWidth="1"/>
    <col min="1021" max="1024" width="9.7109375" style="206" customWidth="1"/>
    <col min="1025" max="1025" width="11.7109375" style="206" bestFit="1" customWidth="1"/>
    <col min="1026" max="1026" width="11.28515625" style="206" bestFit="1" customWidth="1"/>
    <col min="1027" max="1027" width="12.42578125" style="206" bestFit="1" customWidth="1"/>
    <col min="1028" max="1028" width="12.140625" style="206" bestFit="1" customWidth="1"/>
    <col min="1029" max="1274" width="9.7109375" style="206"/>
    <col min="1275" max="1275" width="10.42578125" style="206" customWidth="1"/>
    <col min="1276" max="1276" width="16.28515625" style="206" customWidth="1"/>
    <col min="1277" max="1280" width="9.7109375" style="206" customWidth="1"/>
    <col min="1281" max="1281" width="11.7109375" style="206" bestFit="1" customWidth="1"/>
    <col min="1282" max="1282" width="11.28515625" style="206" bestFit="1" customWidth="1"/>
    <col min="1283" max="1283" width="12.42578125" style="206" bestFit="1" customWidth="1"/>
    <col min="1284" max="1284" width="12.140625" style="206" bestFit="1" customWidth="1"/>
    <col min="1285" max="1530" width="9.7109375" style="206"/>
    <col min="1531" max="1531" width="10.42578125" style="206" customWidth="1"/>
    <col min="1532" max="1532" width="16.28515625" style="206" customWidth="1"/>
    <col min="1533" max="1536" width="9.7109375" style="206" customWidth="1"/>
    <col min="1537" max="1537" width="11.7109375" style="206" bestFit="1" customWidth="1"/>
    <col min="1538" max="1538" width="11.28515625" style="206" bestFit="1" customWidth="1"/>
    <col min="1539" max="1539" width="12.42578125" style="206" bestFit="1" customWidth="1"/>
    <col min="1540" max="1540" width="12.140625" style="206" bestFit="1" customWidth="1"/>
    <col min="1541" max="1786" width="9.7109375" style="206"/>
    <col min="1787" max="1787" width="10.42578125" style="206" customWidth="1"/>
    <col min="1788" max="1788" width="16.28515625" style="206" customWidth="1"/>
    <col min="1789" max="1792" width="9.7109375" style="206" customWidth="1"/>
    <col min="1793" max="1793" width="11.7109375" style="206" bestFit="1" customWidth="1"/>
    <col min="1794" max="1794" width="11.28515625" style="206" bestFit="1" customWidth="1"/>
    <col min="1795" max="1795" width="12.42578125" style="206" bestFit="1" customWidth="1"/>
    <col min="1796" max="1796" width="12.140625" style="206" bestFit="1" customWidth="1"/>
    <col min="1797" max="2042" width="9.7109375" style="206"/>
    <col min="2043" max="2043" width="10.42578125" style="206" customWidth="1"/>
    <col min="2044" max="2044" width="16.28515625" style="206" customWidth="1"/>
    <col min="2045" max="2048" width="9.7109375" style="206" customWidth="1"/>
    <col min="2049" max="2049" width="11.7109375" style="206" bestFit="1" customWidth="1"/>
    <col min="2050" max="2050" width="11.28515625" style="206" bestFit="1" customWidth="1"/>
    <col min="2051" max="2051" width="12.42578125" style="206" bestFit="1" customWidth="1"/>
    <col min="2052" max="2052" width="12.140625" style="206" bestFit="1" customWidth="1"/>
    <col min="2053" max="2298" width="9.7109375" style="206"/>
    <col min="2299" max="2299" width="10.42578125" style="206" customWidth="1"/>
    <col min="2300" max="2300" width="16.28515625" style="206" customWidth="1"/>
    <col min="2301" max="2304" width="9.7109375" style="206" customWidth="1"/>
    <col min="2305" max="2305" width="11.7109375" style="206" bestFit="1" customWidth="1"/>
    <col min="2306" max="2306" width="11.28515625" style="206" bestFit="1" customWidth="1"/>
    <col min="2307" max="2307" width="12.42578125" style="206" bestFit="1" customWidth="1"/>
    <col min="2308" max="2308" width="12.140625" style="206" bestFit="1" customWidth="1"/>
    <col min="2309" max="2554" width="9.7109375" style="206"/>
    <col min="2555" max="2555" width="10.42578125" style="206" customWidth="1"/>
    <col min="2556" max="2556" width="16.28515625" style="206" customWidth="1"/>
    <col min="2557" max="2560" width="9.7109375" style="206" customWidth="1"/>
    <col min="2561" max="2561" width="11.7109375" style="206" bestFit="1" customWidth="1"/>
    <col min="2562" max="2562" width="11.28515625" style="206" bestFit="1" customWidth="1"/>
    <col min="2563" max="2563" width="12.42578125" style="206" bestFit="1" customWidth="1"/>
    <col min="2564" max="2564" width="12.140625" style="206" bestFit="1" customWidth="1"/>
    <col min="2565" max="2810" width="9.7109375" style="206"/>
    <col min="2811" max="2811" width="10.42578125" style="206" customWidth="1"/>
    <col min="2812" max="2812" width="16.28515625" style="206" customWidth="1"/>
    <col min="2813" max="2816" width="9.7109375" style="206" customWidth="1"/>
    <col min="2817" max="2817" width="11.7109375" style="206" bestFit="1" customWidth="1"/>
    <col min="2818" max="2818" width="11.28515625" style="206" bestFit="1" customWidth="1"/>
    <col min="2819" max="2819" width="12.42578125" style="206" bestFit="1" customWidth="1"/>
    <col min="2820" max="2820" width="12.140625" style="206" bestFit="1" customWidth="1"/>
    <col min="2821" max="3066" width="9.7109375" style="206"/>
    <col min="3067" max="3067" width="10.42578125" style="206" customWidth="1"/>
    <col min="3068" max="3068" width="16.28515625" style="206" customWidth="1"/>
    <col min="3069" max="3072" width="9.7109375" style="206" customWidth="1"/>
    <col min="3073" max="3073" width="11.7109375" style="206" bestFit="1" customWidth="1"/>
    <col min="3074" max="3074" width="11.28515625" style="206" bestFit="1" customWidth="1"/>
    <col min="3075" max="3075" width="12.42578125" style="206" bestFit="1" customWidth="1"/>
    <col min="3076" max="3076" width="12.140625" style="206" bestFit="1" customWidth="1"/>
    <col min="3077" max="3322" width="9.7109375" style="206"/>
    <col min="3323" max="3323" width="10.42578125" style="206" customWidth="1"/>
    <col min="3324" max="3324" width="16.28515625" style="206" customWidth="1"/>
    <col min="3325" max="3328" width="9.7109375" style="206" customWidth="1"/>
    <col min="3329" max="3329" width="11.7109375" style="206" bestFit="1" customWidth="1"/>
    <col min="3330" max="3330" width="11.28515625" style="206" bestFit="1" customWidth="1"/>
    <col min="3331" max="3331" width="12.42578125" style="206" bestFit="1" customWidth="1"/>
    <col min="3332" max="3332" width="12.140625" style="206" bestFit="1" customWidth="1"/>
    <col min="3333" max="3578" width="9.7109375" style="206"/>
    <col min="3579" max="3579" width="10.42578125" style="206" customWidth="1"/>
    <col min="3580" max="3580" width="16.28515625" style="206" customWidth="1"/>
    <col min="3581" max="3584" width="9.7109375" style="206" customWidth="1"/>
    <col min="3585" max="3585" width="11.7109375" style="206" bestFit="1" customWidth="1"/>
    <col min="3586" max="3586" width="11.28515625" style="206" bestFit="1" customWidth="1"/>
    <col min="3587" max="3587" width="12.42578125" style="206" bestFit="1" customWidth="1"/>
    <col min="3588" max="3588" width="12.140625" style="206" bestFit="1" customWidth="1"/>
    <col min="3589" max="3834" width="9.7109375" style="206"/>
    <col min="3835" max="3835" width="10.42578125" style="206" customWidth="1"/>
    <col min="3836" max="3836" width="16.28515625" style="206" customWidth="1"/>
    <col min="3837" max="3840" width="9.7109375" style="206" customWidth="1"/>
    <col min="3841" max="3841" width="11.7109375" style="206" bestFit="1" customWidth="1"/>
    <col min="3842" max="3842" width="11.28515625" style="206" bestFit="1" customWidth="1"/>
    <col min="3843" max="3843" width="12.42578125" style="206" bestFit="1" customWidth="1"/>
    <col min="3844" max="3844" width="12.140625" style="206" bestFit="1" customWidth="1"/>
    <col min="3845" max="4090" width="9.7109375" style="206"/>
    <col min="4091" max="4091" width="10.42578125" style="206" customWidth="1"/>
    <col min="4092" max="4092" width="16.28515625" style="206" customWidth="1"/>
    <col min="4093" max="4096" width="9.7109375" style="206" customWidth="1"/>
    <col min="4097" max="4097" width="11.7109375" style="206" bestFit="1" customWidth="1"/>
    <col min="4098" max="4098" width="11.28515625" style="206" bestFit="1" customWidth="1"/>
    <col min="4099" max="4099" width="12.42578125" style="206" bestFit="1" customWidth="1"/>
    <col min="4100" max="4100" width="12.140625" style="206" bestFit="1" customWidth="1"/>
    <col min="4101" max="4346" width="9.7109375" style="206"/>
    <col min="4347" max="4347" width="10.42578125" style="206" customWidth="1"/>
    <col min="4348" max="4348" width="16.28515625" style="206" customWidth="1"/>
    <col min="4349" max="4352" width="9.7109375" style="206" customWidth="1"/>
    <col min="4353" max="4353" width="11.7109375" style="206" bestFit="1" customWidth="1"/>
    <col min="4354" max="4354" width="11.28515625" style="206" bestFit="1" customWidth="1"/>
    <col min="4355" max="4355" width="12.42578125" style="206" bestFit="1" customWidth="1"/>
    <col min="4356" max="4356" width="12.140625" style="206" bestFit="1" customWidth="1"/>
    <col min="4357" max="4602" width="9.7109375" style="206"/>
    <col min="4603" max="4603" width="10.42578125" style="206" customWidth="1"/>
    <col min="4604" max="4604" width="16.28515625" style="206" customWidth="1"/>
    <col min="4605" max="4608" width="9.7109375" style="206" customWidth="1"/>
    <col min="4609" max="4609" width="11.7109375" style="206" bestFit="1" customWidth="1"/>
    <col min="4610" max="4610" width="11.28515625" style="206" bestFit="1" customWidth="1"/>
    <col min="4611" max="4611" width="12.42578125" style="206" bestFit="1" customWidth="1"/>
    <col min="4612" max="4612" width="12.140625" style="206" bestFit="1" customWidth="1"/>
    <col min="4613" max="4858" width="9.7109375" style="206"/>
    <col min="4859" max="4859" width="10.42578125" style="206" customWidth="1"/>
    <col min="4860" max="4860" width="16.28515625" style="206" customWidth="1"/>
    <col min="4861" max="4864" width="9.7109375" style="206" customWidth="1"/>
    <col min="4865" max="4865" width="11.7109375" style="206" bestFit="1" customWidth="1"/>
    <col min="4866" max="4866" width="11.28515625" style="206" bestFit="1" customWidth="1"/>
    <col min="4867" max="4867" width="12.42578125" style="206" bestFit="1" customWidth="1"/>
    <col min="4868" max="4868" width="12.140625" style="206" bestFit="1" customWidth="1"/>
    <col min="4869" max="5114" width="9.7109375" style="206"/>
    <col min="5115" max="5115" width="10.42578125" style="206" customWidth="1"/>
    <col min="5116" max="5116" width="16.28515625" style="206" customWidth="1"/>
    <col min="5117" max="5120" width="9.7109375" style="206" customWidth="1"/>
    <col min="5121" max="5121" width="11.7109375" style="206" bestFit="1" customWidth="1"/>
    <col min="5122" max="5122" width="11.28515625" style="206" bestFit="1" customWidth="1"/>
    <col min="5123" max="5123" width="12.42578125" style="206" bestFit="1" customWidth="1"/>
    <col min="5124" max="5124" width="12.140625" style="206" bestFit="1" customWidth="1"/>
    <col min="5125" max="5370" width="9.7109375" style="206"/>
    <col min="5371" max="5371" width="10.42578125" style="206" customWidth="1"/>
    <col min="5372" max="5372" width="16.28515625" style="206" customWidth="1"/>
    <col min="5373" max="5376" width="9.7109375" style="206" customWidth="1"/>
    <col min="5377" max="5377" width="11.7109375" style="206" bestFit="1" customWidth="1"/>
    <col min="5378" max="5378" width="11.28515625" style="206" bestFit="1" customWidth="1"/>
    <col min="5379" max="5379" width="12.42578125" style="206" bestFit="1" customWidth="1"/>
    <col min="5380" max="5380" width="12.140625" style="206" bestFit="1" customWidth="1"/>
    <col min="5381" max="5626" width="9.7109375" style="206"/>
    <col min="5627" max="5627" width="10.42578125" style="206" customWidth="1"/>
    <col min="5628" max="5628" width="16.28515625" style="206" customWidth="1"/>
    <col min="5629" max="5632" width="9.7109375" style="206" customWidth="1"/>
    <col min="5633" max="5633" width="11.7109375" style="206" bestFit="1" customWidth="1"/>
    <col min="5634" max="5634" width="11.28515625" style="206" bestFit="1" customWidth="1"/>
    <col min="5635" max="5635" width="12.42578125" style="206" bestFit="1" customWidth="1"/>
    <col min="5636" max="5636" width="12.140625" style="206" bestFit="1" customWidth="1"/>
    <col min="5637" max="5882" width="9.7109375" style="206"/>
    <col min="5883" max="5883" width="10.42578125" style="206" customWidth="1"/>
    <col min="5884" max="5884" width="16.28515625" style="206" customWidth="1"/>
    <col min="5885" max="5888" width="9.7109375" style="206" customWidth="1"/>
    <col min="5889" max="5889" width="11.7109375" style="206" bestFit="1" customWidth="1"/>
    <col min="5890" max="5890" width="11.28515625" style="206" bestFit="1" customWidth="1"/>
    <col min="5891" max="5891" width="12.42578125" style="206" bestFit="1" customWidth="1"/>
    <col min="5892" max="5892" width="12.140625" style="206" bestFit="1" customWidth="1"/>
    <col min="5893" max="6138" width="9.7109375" style="206"/>
    <col min="6139" max="6139" width="10.42578125" style="206" customWidth="1"/>
    <col min="6140" max="6140" width="16.28515625" style="206" customWidth="1"/>
    <col min="6141" max="6144" width="9.7109375" style="206" customWidth="1"/>
    <col min="6145" max="6145" width="11.7109375" style="206" bestFit="1" customWidth="1"/>
    <col min="6146" max="6146" width="11.28515625" style="206" bestFit="1" customWidth="1"/>
    <col min="6147" max="6147" width="12.42578125" style="206" bestFit="1" customWidth="1"/>
    <col min="6148" max="6148" width="12.140625" style="206" bestFit="1" customWidth="1"/>
    <col min="6149" max="6394" width="9.7109375" style="206"/>
    <col min="6395" max="6395" width="10.42578125" style="206" customWidth="1"/>
    <col min="6396" max="6396" width="16.28515625" style="206" customWidth="1"/>
    <col min="6397" max="6400" width="9.7109375" style="206" customWidth="1"/>
    <col min="6401" max="6401" width="11.7109375" style="206" bestFit="1" customWidth="1"/>
    <col min="6402" max="6402" width="11.28515625" style="206" bestFit="1" customWidth="1"/>
    <col min="6403" max="6403" width="12.42578125" style="206" bestFit="1" customWidth="1"/>
    <col min="6404" max="6404" width="12.140625" style="206" bestFit="1" customWidth="1"/>
    <col min="6405" max="6650" width="9.7109375" style="206"/>
    <col min="6651" max="6651" width="10.42578125" style="206" customWidth="1"/>
    <col min="6652" max="6652" width="16.28515625" style="206" customWidth="1"/>
    <col min="6653" max="6656" width="9.7109375" style="206" customWidth="1"/>
    <col min="6657" max="6657" width="11.7109375" style="206" bestFit="1" customWidth="1"/>
    <col min="6658" max="6658" width="11.28515625" style="206" bestFit="1" customWidth="1"/>
    <col min="6659" max="6659" width="12.42578125" style="206" bestFit="1" customWidth="1"/>
    <col min="6660" max="6660" width="12.140625" style="206" bestFit="1" customWidth="1"/>
    <col min="6661" max="6906" width="9.7109375" style="206"/>
    <col min="6907" max="6907" width="10.42578125" style="206" customWidth="1"/>
    <col min="6908" max="6908" width="16.28515625" style="206" customWidth="1"/>
    <col min="6909" max="6912" width="9.7109375" style="206" customWidth="1"/>
    <col min="6913" max="6913" width="11.7109375" style="206" bestFit="1" customWidth="1"/>
    <col min="6914" max="6914" width="11.28515625" style="206" bestFit="1" customWidth="1"/>
    <col min="6915" max="6915" width="12.42578125" style="206" bestFit="1" customWidth="1"/>
    <col min="6916" max="6916" width="12.140625" style="206" bestFit="1" customWidth="1"/>
    <col min="6917" max="7162" width="9.7109375" style="206"/>
    <col min="7163" max="7163" width="10.42578125" style="206" customWidth="1"/>
    <col min="7164" max="7164" width="16.28515625" style="206" customWidth="1"/>
    <col min="7165" max="7168" width="9.7109375" style="206" customWidth="1"/>
    <col min="7169" max="7169" width="11.7109375" style="206" bestFit="1" customWidth="1"/>
    <col min="7170" max="7170" width="11.28515625" style="206" bestFit="1" customWidth="1"/>
    <col min="7171" max="7171" width="12.42578125" style="206" bestFit="1" customWidth="1"/>
    <col min="7172" max="7172" width="12.140625" style="206" bestFit="1" customWidth="1"/>
    <col min="7173" max="7418" width="9.7109375" style="206"/>
    <col min="7419" max="7419" width="10.42578125" style="206" customWidth="1"/>
    <col min="7420" max="7420" width="16.28515625" style="206" customWidth="1"/>
    <col min="7421" max="7424" width="9.7109375" style="206" customWidth="1"/>
    <col min="7425" max="7425" width="11.7109375" style="206" bestFit="1" customWidth="1"/>
    <col min="7426" max="7426" width="11.28515625" style="206" bestFit="1" customWidth="1"/>
    <col min="7427" max="7427" width="12.42578125" style="206" bestFit="1" customWidth="1"/>
    <col min="7428" max="7428" width="12.140625" style="206" bestFit="1" customWidth="1"/>
    <col min="7429" max="7674" width="9.7109375" style="206"/>
    <col min="7675" max="7675" width="10.42578125" style="206" customWidth="1"/>
    <col min="7676" max="7676" width="16.28515625" style="206" customWidth="1"/>
    <col min="7677" max="7680" width="9.7109375" style="206" customWidth="1"/>
    <col min="7681" max="7681" width="11.7109375" style="206" bestFit="1" customWidth="1"/>
    <col min="7682" max="7682" width="11.28515625" style="206" bestFit="1" customWidth="1"/>
    <col min="7683" max="7683" width="12.42578125" style="206" bestFit="1" customWidth="1"/>
    <col min="7684" max="7684" width="12.140625" style="206" bestFit="1" customWidth="1"/>
    <col min="7685" max="7930" width="9.7109375" style="206"/>
    <col min="7931" max="7931" width="10.42578125" style="206" customWidth="1"/>
    <col min="7932" max="7932" width="16.28515625" style="206" customWidth="1"/>
    <col min="7933" max="7936" width="9.7109375" style="206" customWidth="1"/>
    <col min="7937" max="7937" width="11.7109375" style="206" bestFit="1" customWidth="1"/>
    <col min="7938" max="7938" width="11.28515625" style="206" bestFit="1" customWidth="1"/>
    <col min="7939" max="7939" width="12.42578125" style="206" bestFit="1" customWidth="1"/>
    <col min="7940" max="7940" width="12.140625" style="206" bestFit="1" customWidth="1"/>
    <col min="7941" max="8186" width="9.7109375" style="206"/>
    <col min="8187" max="8187" width="10.42578125" style="206" customWidth="1"/>
    <col min="8188" max="8188" width="16.28515625" style="206" customWidth="1"/>
    <col min="8189" max="8192" width="9.7109375" style="206" customWidth="1"/>
    <col min="8193" max="8193" width="11.7109375" style="206" bestFit="1" customWidth="1"/>
    <col min="8194" max="8194" width="11.28515625" style="206" bestFit="1" customWidth="1"/>
    <col min="8195" max="8195" width="12.42578125" style="206" bestFit="1" customWidth="1"/>
    <col min="8196" max="8196" width="12.140625" style="206" bestFit="1" customWidth="1"/>
    <col min="8197" max="8442" width="9.7109375" style="206"/>
    <col min="8443" max="8443" width="10.42578125" style="206" customWidth="1"/>
    <col min="8444" max="8444" width="16.28515625" style="206" customWidth="1"/>
    <col min="8445" max="8448" width="9.7109375" style="206" customWidth="1"/>
    <col min="8449" max="8449" width="11.7109375" style="206" bestFit="1" customWidth="1"/>
    <col min="8450" max="8450" width="11.28515625" style="206" bestFit="1" customWidth="1"/>
    <col min="8451" max="8451" width="12.42578125" style="206" bestFit="1" customWidth="1"/>
    <col min="8452" max="8452" width="12.140625" style="206" bestFit="1" customWidth="1"/>
    <col min="8453" max="8698" width="9.7109375" style="206"/>
    <col min="8699" max="8699" width="10.42578125" style="206" customWidth="1"/>
    <col min="8700" max="8700" width="16.28515625" style="206" customWidth="1"/>
    <col min="8701" max="8704" width="9.7109375" style="206" customWidth="1"/>
    <col min="8705" max="8705" width="11.7109375" style="206" bestFit="1" customWidth="1"/>
    <col min="8706" max="8706" width="11.28515625" style="206" bestFit="1" customWidth="1"/>
    <col min="8707" max="8707" width="12.42578125" style="206" bestFit="1" customWidth="1"/>
    <col min="8708" max="8708" width="12.140625" style="206" bestFit="1" customWidth="1"/>
    <col min="8709" max="8954" width="9.7109375" style="206"/>
    <col min="8955" max="8955" width="10.42578125" style="206" customWidth="1"/>
    <col min="8956" max="8956" width="16.28515625" style="206" customWidth="1"/>
    <col min="8957" max="8960" width="9.7109375" style="206" customWidth="1"/>
    <col min="8961" max="8961" width="11.7109375" style="206" bestFit="1" customWidth="1"/>
    <col min="8962" max="8962" width="11.28515625" style="206" bestFit="1" customWidth="1"/>
    <col min="8963" max="8963" width="12.42578125" style="206" bestFit="1" customWidth="1"/>
    <col min="8964" max="8964" width="12.140625" style="206" bestFit="1" customWidth="1"/>
    <col min="8965" max="9210" width="9.7109375" style="206"/>
    <col min="9211" max="9211" width="10.42578125" style="206" customWidth="1"/>
    <col min="9212" max="9212" width="16.28515625" style="206" customWidth="1"/>
    <col min="9213" max="9216" width="9.7109375" style="206" customWidth="1"/>
    <col min="9217" max="9217" width="11.7109375" style="206" bestFit="1" customWidth="1"/>
    <col min="9218" max="9218" width="11.28515625" style="206" bestFit="1" customWidth="1"/>
    <col min="9219" max="9219" width="12.42578125" style="206" bestFit="1" customWidth="1"/>
    <col min="9220" max="9220" width="12.140625" style="206" bestFit="1" customWidth="1"/>
    <col min="9221" max="9466" width="9.7109375" style="206"/>
    <col min="9467" max="9467" width="10.42578125" style="206" customWidth="1"/>
    <col min="9468" max="9468" width="16.28515625" style="206" customWidth="1"/>
    <col min="9469" max="9472" width="9.7109375" style="206" customWidth="1"/>
    <col min="9473" max="9473" width="11.7109375" style="206" bestFit="1" customWidth="1"/>
    <col min="9474" max="9474" width="11.28515625" style="206" bestFit="1" customWidth="1"/>
    <col min="9475" max="9475" width="12.42578125" style="206" bestFit="1" customWidth="1"/>
    <col min="9476" max="9476" width="12.140625" style="206" bestFit="1" customWidth="1"/>
    <col min="9477" max="9722" width="9.7109375" style="206"/>
    <col min="9723" max="9723" width="10.42578125" style="206" customWidth="1"/>
    <col min="9724" max="9724" width="16.28515625" style="206" customWidth="1"/>
    <col min="9725" max="9728" width="9.7109375" style="206" customWidth="1"/>
    <col min="9729" max="9729" width="11.7109375" style="206" bestFit="1" customWidth="1"/>
    <col min="9730" max="9730" width="11.28515625" style="206" bestFit="1" customWidth="1"/>
    <col min="9731" max="9731" width="12.42578125" style="206" bestFit="1" customWidth="1"/>
    <col min="9732" max="9732" width="12.140625" style="206" bestFit="1" customWidth="1"/>
    <col min="9733" max="9978" width="9.7109375" style="206"/>
    <col min="9979" max="9979" width="10.42578125" style="206" customWidth="1"/>
    <col min="9980" max="9980" width="16.28515625" style="206" customWidth="1"/>
    <col min="9981" max="9984" width="9.7109375" style="206" customWidth="1"/>
    <col min="9985" max="9985" width="11.7109375" style="206" bestFit="1" customWidth="1"/>
    <col min="9986" max="9986" width="11.28515625" style="206" bestFit="1" customWidth="1"/>
    <col min="9987" max="9987" width="12.42578125" style="206" bestFit="1" customWidth="1"/>
    <col min="9988" max="9988" width="12.140625" style="206" bestFit="1" customWidth="1"/>
    <col min="9989" max="10234" width="9.7109375" style="206"/>
    <col min="10235" max="10235" width="10.42578125" style="206" customWidth="1"/>
    <col min="10236" max="10236" width="16.28515625" style="206" customWidth="1"/>
    <col min="10237" max="10240" width="9.7109375" style="206" customWidth="1"/>
    <col min="10241" max="10241" width="11.7109375" style="206" bestFit="1" customWidth="1"/>
    <col min="10242" max="10242" width="11.28515625" style="206" bestFit="1" customWidth="1"/>
    <col min="10243" max="10243" width="12.42578125" style="206" bestFit="1" customWidth="1"/>
    <col min="10244" max="10244" width="12.140625" style="206" bestFit="1" customWidth="1"/>
    <col min="10245" max="10490" width="9.7109375" style="206"/>
    <col min="10491" max="10491" width="10.42578125" style="206" customWidth="1"/>
    <col min="10492" max="10492" width="16.28515625" style="206" customWidth="1"/>
    <col min="10493" max="10496" width="9.7109375" style="206" customWidth="1"/>
    <col min="10497" max="10497" width="11.7109375" style="206" bestFit="1" customWidth="1"/>
    <col min="10498" max="10498" width="11.28515625" style="206" bestFit="1" customWidth="1"/>
    <col min="10499" max="10499" width="12.42578125" style="206" bestFit="1" customWidth="1"/>
    <col min="10500" max="10500" width="12.140625" style="206" bestFit="1" customWidth="1"/>
    <col min="10501" max="10746" width="9.7109375" style="206"/>
    <col min="10747" max="10747" width="10.42578125" style="206" customWidth="1"/>
    <col min="10748" max="10748" width="16.28515625" style="206" customWidth="1"/>
    <col min="10749" max="10752" width="9.7109375" style="206" customWidth="1"/>
    <col min="10753" max="10753" width="11.7109375" style="206" bestFit="1" customWidth="1"/>
    <col min="10754" max="10754" width="11.28515625" style="206" bestFit="1" customWidth="1"/>
    <col min="10755" max="10755" width="12.42578125" style="206" bestFit="1" customWidth="1"/>
    <col min="10756" max="10756" width="12.140625" style="206" bestFit="1" customWidth="1"/>
    <col min="10757" max="11002" width="9.7109375" style="206"/>
    <col min="11003" max="11003" width="10.42578125" style="206" customWidth="1"/>
    <col min="11004" max="11004" width="16.28515625" style="206" customWidth="1"/>
    <col min="11005" max="11008" width="9.7109375" style="206" customWidth="1"/>
    <col min="11009" max="11009" width="11.7109375" style="206" bestFit="1" customWidth="1"/>
    <col min="11010" max="11010" width="11.28515625" style="206" bestFit="1" customWidth="1"/>
    <col min="11011" max="11011" width="12.42578125" style="206" bestFit="1" customWidth="1"/>
    <col min="11012" max="11012" width="12.140625" style="206" bestFit="1" customWidth="1"/>
    <col min="11013" max="11258" width="9.7109375" style="206"/>
    <col min="11259" max="11259" width="10.42578125" style="206" customWidth="1"/>
    <col min="11260" max="11260" width="16.28515625" style="206" customWidth="1"/>
    <col min="11261" max="11264" width="9.7109375" style="206" customWidth="1"/>
    <col min="11265" max="11265" width="11.7109375" style="206" bestFit="1" customWidth="1"/>
    <col min="11266" max="11266" width="11.28515625" style="206" bestFit="1" customWidth="1"/>
    <col min="11267" max="11267" width="12.42578125" style="206" bestFit="1" customWidth="1"/>
    <col min="11268" max="11268" width="12.140625" style="206" bestFit="1" customWidth="1"/>
    <col min="11269" max="11514" width="9.7109375" style="206"/>
    <col min="11515" max="11515" width="10.42578125" style="206" customWidth="1"/>
    <col min="11516" max="11516" width="16.28515625" style="206" customWidth="1"/>
    <col min="11517" max="11520" width="9.7109375" style="206" customWidth="1"/>
    <col min="11521" max="11521" width="11.7109375" style="206" bestFit="1" customWidth="1"/>
    <col min="11522" max="11522" width="11.28515625" style="206" bestFit="1" customWidth="1"/>
    <col min="11523" max="11523" width="12.42578125" style="206" bestFit="1" customWidth="1"/>
    <col min="11524" max="11524" width="12.140625" style="206" bestFit="1" customWidth="1"/>
    <col min="11525" max="11770" width="9.7109375" style="206"/>
    <col min="11771" max="11771" width="10.42578125" style="206" customWidth="1"/>
    <col min="11772" max="11772" width="16.28515625" style="206" customWidth="1"/>
    <col min="11773" max="11776" width="9.7109375" style="206" customWidth="1"/>
    <col min="11777" max="11777" width="11.7109375" style="206" bestFit="1" customWidth="1"/>
    <col min="11778" max="11778" width="11.28515625" style="206" bestFit="1" customWidth="1"/>
    <col min="11779" max="11779" width="12.42578125" style="206" bestFit="1" customWidth="1"/>
    <col min="11780" max="11780" width="12.140625" style="206" bestFit="1" customWidth="1"/>
    <col min="11781" max="12026" width="9.7109375" style="206"/>
    <col min="12027" max="12027" width="10.42578125" style="206" customWidth="1"/>
    <col min="12028" max="12028" width="16.28515625" style="206" customWidth="1"/>
    <col min="12029" max="12032" width="9.7109375" style="206" customWidth="1"/>
    <col min="12033" max="12033" width="11.7109375" style="206" bestFit="1" customWidth="1"/>
    <col min="12034" max="12034" width="11.28515625" style="206" bestFit="1" customWidth="1"/>
    <col min="12035" max="12035" width="12.42578125" style="206" bestFit="1" customWidth="1"/>
    <col min="12036" max="12036" width="12.140625" style="206" bestFit="1" customWidth="1"/>
    <col min="12037" max="12282" width="9.7109375" style="206"/>
    <col min="12283" max="12283" width="10.42578125" style="206" customWidth="1"/>
    <col min="12284" max="12284" width="16.28515625" style="206" customWidth="1"/>
    <col min="12285" max="12288" width="9.7109375" style="206" customWidth="1"/>
    <col min="12289" max="12289" width="11.7109375" style="206" bestFit="1" customWidth="1"/>
    <col min="12290" max="12290" width="11.28515625" style="206" bestFit="1" customWidth="1"/>
    <col min="12291" max="12291" width="12.42578125" style="206" bestFit="1" customWidth="1"/>
    <col min="12292" max="12292" width="12.140625" style="206" bestFit="1" customWidth="1"/>
    <col min="12293" max="12538" width="9.7109375" style="206"/>
    <col min="12539" max="12539" width="10.42578125" style="206" customWidth="1"/>
    <col min="12540" max="12540" width="16.28515625" style="206" customWidth="1"/>
    <col min="12541" max="12544" width="9.7109375" style="206" customWidth="1"/>
    <col min="12545" max="12545" width="11.7109375" style="206" bestFit="1" customWidth="1"/>
    <col min="12546" max="12546" width="11.28515625" style="206" bestFit="1" customWidth="1"/>
    <col min="12547" max="12547" width="12.42578125" style="206" bestFit="1" customWidth="1"/>
    <col min="12548" max="12548" width="12.140625" style="206" bestFit="1" customWidth="1"/>
    <col min="12549" max="12794" width="9.7109375" style="206"/>
    <col min="12795" max="12795" width="10.42578125" style="206" customWidth="1"/>
    <col min="12796" max="12796" width="16.28515625" style="206" customWidth="1"/>
    <col min="12797" max="12800" width="9.7109375" style="206" customWidth="1"/>
    <col min="12801" max="12801" width="11.7109375" style="206" bestFit="1" customWidth="1"/>
    <col min="12802" max="12802" width="11.28515625" style="206" bestFit="1" customWidth="1"/>
    <col min="12803" max="12803" width="12.42578125" style="206" bestFit="1" customWidth="1"/>
    <col min="12804" max="12804" width="12.140625" style="206" bestFit="1" customWidth="1"/>
    <col min="12805" max="13050" width="9.7109375" style="206"/>
    <col min="13051" max="13051" width="10.42578125" style="206" customWidth="1"/>
    <col min="13052" max="13052" width="16.28515625" style="206" customWidth="1"/>
    <col min="13053" max="13056" width="9.7109375" style="206" customWidth="1"/>
    <col min="13057" max="13057" width="11.7109375" style="206" bestFit="1" customWidth="1"/>
    <col min="13058" max="13058" width="11.28515625" style="206" bestFit="1" customWidth="1"/>
    <col min="13059" max="13059" width="12.42578125" style="206" bestFit="1" customWidth="1"/>
    <col min="13060" max="13060" width="12.140625" style="206" bestFit="1" customWidth="1"/>
    <col min="13061" max="13306" width="9.7109375" style="206"/>
    <col min="13307" max="13307" width="10.42578125" style="206" customWidth="1"/>
    <col min="13308" max="13308" width="16.28515625" style="206" customWidth="1"/>
    <col min="13309" max="13312" width="9.7109375" style="206" customWidth="1"/>
    <col min="13313" max="13313" width="11.7109375" style="206" bestFit="1" customWidth="1"/>
    <col min="13314" max="13314" width="11.28515625" style="206" bestFit="1" customWidth="1"/>
    <col min="13315" max="13315" width="12.42578125" style="206" bestFit="1" customWidth="1"/>
    <col min="13316" max="13316" width="12.140625" style="206" bestFit="1" customWidth="1"/>
    <col min="13317" max="13562" width="9.7109375" style="206"/>
    <col min="13563" max="13563" width="10.42578125" style="206" customWidth="1"/>
    <col min="13564" max="13564" width="16.28515625" style="206" customWidth="1"/>
    <col min="13565" max="13568" width="9.7109375" style="206" customWidth="1"/>
    <col min="13569" max="13569" width="11.7109375" style="206" bestFit="1" customWidth="1"/>
    <col min="13570" max="13570" width="11.28515625" style="206" bestFit="1" customWidth="1"/>
    <col min="13571" max="13571" width="12.42578125" style="206" bestFit="1" customWidth="1"/>
    <col min="13572" max="13572" width="12.140625" style="206" bestFit="1" customWidth="1"/>
    <col min="13573" max="13818" width="9.7109375" style="206"/>
    <col min="13819" max="13819" width="10.42578125" style="206" customWidth="1"/>
    <col min="13820" max="13820" width="16.28515625" style="206" customWidth="1"/>
    <col min="13821" max="13824" width="9.7109375" style="206" customWidth="1"/>
    <col min="13825" max="13825" width="11.7109375" style="206" bestFit="1" customWidth="1"/>
    <col min="13826" max="13826" width="11.28515625" style="206" bestFit="1" customWidth="1"/>
    <col min="13827" max="13827" width="12.42578125" style="206" bestFit="1" customWidth="1"/>
    <col min="13828" max="13828" width="12.140625" style="206" bestFit="1" customWidth="1"/>
    <col min="13829" max="14074" width="9.7109375" style="206"/>
    <col min="14075" max="14075" width="10.42578125" style="206" customWidth="1"/>
    <col min="14076" max="14076" width="16.28515625" style="206" customWidth="1"/>
    <col min="14077" max="14080" width="9.7109375" style="206" customWidth="1"/>
    <col min="14081" max="14081" width="11.7109375" style="206" bestFit="1" customWidth="1"/>
    <col min="14082" max="14082" width="11.28515625" style="206" bestFit="1" customWidth="1"/>
    <col min="14083" max="14083" width="12.42578125" style="206" bestFit="1" customWidth="1"/>
    <col min="14084" max="14084" width="12.140625" style="206" bestFit="1" customWidth="1"/>
    <col min="14085" max="14330" width="9.7109375" style="206"/>
    <col min="14331" max="14331" width="10.42578125" style="206" customWidth="1"/>
    <col min="14332" max="14332" width="16.28515625" style="206" customWidth="1"/>
    <col min="14333" max="14336" width="9.7109375" style="206" customWidth="1"/>
    <col min="14337" max="14337" width="11.7109375" style="206" bestFit="1" customWidth="1"/>
    <col min="14338" max="14338" width="11.28515625" style="206" bestFit="1" customWidth="1"/>
    <col min="14339" max="14339" width="12.42578125" style="206" bestFit="1" customWidth="1"/>
    <col min="14340" max="14340" width="12.140625" style="206" bestFit="1" customWidth="1"/>
    <col min="14341" max="14586" width="9.7109375" style="206"/>
    <col min="14587" max="14587" width="10.42578125" style="206" customWidth="1"/>
    <col min="14588" max="14588" width="16.28515625" style="206" customWidth="1"/>
    <col min="14589" max="14592" width="9.7109375" style="206" customWidth="1"/>
    <col min="14593" max="14593" width="11.7109375" style="206" bestFit="1" customWidth="1"/>
    <col min="14594" max="14594" width="11.28515625" style="206" bestFit="1" customWidth="1"/>
    <col min="14595" max="14595" width="12.42578125" style="206" bestFit="1" customWidth="1"/>
    <col min="14596" max="14596" width="12.140625" style="206" bestFit="1" customWidth="1"/>
    <col min="14597" max="14842" width="9.7109375" style="206"/>
    <col min="14843" max="14843" width="10.42578125" style="206" customWidth="1"/>
    <col min="14844" max="14844" width="16.28515625" style="206" customWidth="1"/>
    <col min="14845" max="14848" width="9.7109375" style="206" customWidth="1"/>
    <col min="14849" max="14849" width="11.7109375" style="206" bestFit="1" customWidth="1"/>
    <col min="14850" max="14850" width="11.28515625" style="206" bestFit="1" customWidth="1"/>
    <col min="14851" max="14851" width="12.42578125" style="206" bestFit="1" customWidth="1"/>
    <col min="14852" max="14852" width="12.140625" style="206" bestFit="1" customWidth="1"/>
    <col min="14853" max="15098" width="9.7109375" style="206"/>
    <col min="15099" max="15099" width="10.42578125" style="206" customWidth="1"/>
    <col min="15100" max="15100" width="16.28515625" style="206" customWidth="1"/>
    <col min="15101" max="15104" width="9.7109375" style="206" customWidth="1"/>
    <col min="15105" max="15105" width="11.7109375" style="206" bestFit="1" customWidth="1"/>
    <col min="15106" max="15106" width="11.28515625" style="206" bestFit="1" customWidth="1"/>
    <col min="15107" max="15107" width="12.42578125" style="206" bestFit="1" customWidth="1"/>
    <col min="15108" max="15108" width="12.140625" style="206" bestFit="1" customWidth="1"/>
    <col min="15109" max="15354" width="9.7109375" style="206"/>
    <col min="15355" max="15355" width="10.42578125" style="206" customWidth="1"/>
    <col min="15356" max="15356" width="16.28515625" style="206" customWidth="1"/>
    <col min="15357" max="15360" width="9.7109375" style="206" customWidth="1"/>
    <col min="15361" max="15361" width="11.7109375" style="206" bestFit="1" customWidth="1"/>
    <col min="15362" max="15362" width="11.28515625" style="206" bestFit="1" customWidth="1"/>
    <col min="15363" max="15363" width="12.42578125" style="206" bestFit="1" customWidth="1"/>
    <col min="15364" max="15364" width="12.140625" style="206" bestFit="1" customWidth="1"/>
    <col min="15365" max="15610" width="9.7109375" style="206"/>
    <col min="15611" max="15611" width="10.42578125" style="206" customWidth="1"/>
    <col min="15612" max="15612" width="16.28515625" style="206" customWidth="1"/>
    <col min="15613" max="15616" width="9.7109375" style="206" customWidth="1"/>
    <col min="15617" max="15617" width="11.7109375" style="206" bestFit="1" customWidth="1"/>
    <col min="15618" max="15618" width="11.28515625" style="206" bestFit="1" customWidth="1"/>
    <col min="15619" max="15619" width="12.42578125" style="206" bestFit="1" customWidth="1"/>
    <col min="15620" max="15620" width="12.140625" style="206" bestFit="1" customWidth="1"/>
    <col min="15621" max="15866" width="9.7109375" style="206"/>
    <col min="15867" max="15867" width="10.42578125" style="206" customWidth="1"/>
    <col min="15868" max="15868" width="16.28515625" style="206" customWidth="1"/>
    <col min="15869" max="15872" width="9.7109375" style="206" customWidth="1"/>
    <col min="15873" max="15873" width="11.7109375" style="206" bestFit="1" customWidth="1"/>
    <col min="15874" max="15874" width="11.28515625" style="206" bestFit="1" customWidth="1"/>
    <col min="15875" max="15875" width="12.42578125" style="206" bestFit="1" customWidth="1"/>
    <col min="15876" max="15876" width="12.140625" style="206" bestFit="1" customWidth="1"/>
    <col min="15877" max="16122" width="9.7109375" style="206"/>
    <col min="16123" max="16123" width="10.42578125" style="206" customWidth="1"/>
    <col min="16124" max="16124" width="16.28515625" style="206" customWidth="1"/>
    <col min="16125" max="16128" width="9.7109375" style="206" customWidth="1"/>
    <col min="16129" max="16129" width="11.7109375" style="206" bestFit="1" customWidth="1"/>
    <col min="16130" max="16130" width="11.28515625" style="206" bestFit="1" customWidth="1"/>
    <col min="16131" max="16131" width="12.42578125" style="206" bestFit="1" customWidth="1"/>
    <col min="16132" max="16132" width="12.140625" style="206" bestFit="1" customWidth="1"/>
    <col min="16133" max="16384" width="9.7109375" style="206"/>
  </cols>
  <sheetData>
    <row r="2" spans="1:9" ht="15.75">
      <c r="A2" s="204" t="s">
        <v>261</v>
      </c>
    </row>
    <row r="3" spans="1:9" ht="15">
      <c r="A3" s="205"/>
      <c r="I3" s="532"/>
    </row>
    <row r="4" spans="1:9" ht="15">
      <c r="A4" s="205"/>
      <c r="I4" s="532"/>
    </row>
    <row r="5" spans="1:9">
      <c r="A5" s="208"/>
      <c r="B5" s="215"/>
      <c r="C5" s="216">
        <v>500</v>
      </c>
      <c r="D5" s="217" t="s">
        <v>175</v>
      </c>
      <c r="E5" s="217" t="s">
        <v>17</v>
      </c>
      <c r="F5" s="217" t="s">
        <v>176</v>
      </c>
      <c r="G5" s="217" t="s">
        <v>18</v>
      </c>
      <c r="H5" s="215"/>
      <c r="I5" s="208"/>
    </row>
    <row r="6" spans="1:9" ht="14.25">
      <c r="A6" s="220" t="s">
        <v>143</v>
      </c>
      <c r="B6" s="294" t="s">
        <v>22</v>
      </c>
      <c r="C6" s="294" t="s">
        <v>22</v>
      </c>
      <c r="D6" s="294" t="s">
        <v>22</v>
      </c>
      <c r="E6" s="294" t="s">
        <v>22</v>
      </c>
      <c r="F6" s="294" t="s">
        <v>22</v>
      </c>
      <c r="G6" s="294" t="s">
        <v>22</v>
      </c>
      <c r="H6" s="533" t="s">
        <v>23</v>
      </c>
      <c r="I6" s="220" t="s">
        <v>262</v>
      </c>
    </row>
    <row r="7" spans="1:9" ht="14.25">
      <c r="A7" s="225"/>
      <c r="B7" s="226" t="s">
        <v>178</v>
      </c>
      <c r="C7" s="226" t="s">
        <v>179</v>
      </c>
      <c r="D7" s="226" t="s">
        <v>26</v>
      </c>
      <c r="E7" s="226" t="s">
        <v>180</v>
      </c>
      <c r="F7" s="226" t="s">
        <v>27</v>
      </c>
      <c r="G7" s="226" t="s">
        <v>23</v>
      </c>
      <c r="H7" s="227" t="s">
        <v>29</v>
      </c>
      <c r="I7" s="228"/>
    </row>
    <row r="8" spans="1:9" ht="20.100000000000001" customHeight="1">
      <c r="A8" s="208"/>
      <c r="B8" s="231" t="s">
        <v>263</v>
      </c>
      <c r="C8" s="232"/>
      <c r="D8" s="231"/>
      <c r="E8" s="232"/>
      <c r="F8" s="232"/>
      <c r="G8" s="232"/>
      <c r="H8" s="232"/>
      <c r="I8" s="208"/>
    </row>
    <row r="9" spans="1:9">
      <c r="A9" s="234" t="s">
        <v>50</v>
      </c>
      <c r="B9" s="236">
        <v>166</v>
      </c>
      <c r="C9" s="236">
        <v>341</v>
      </c>
      <c r="D9" s="236">
        <v>310</v>
      </c>
      <c r="E9" s="236">
        <v>441</v>
      </c>
      <c r="F9" s="236">
        <v>666</v>
      </c>
      <c r="G9" s="236">
        <v>1204</v>
      </c>
      <c r="H9" s="236">
        <v>1888</v>
      </c>
      <c r="I9" s="237">
        <v>5016</v>
      </c>
    </row>
    <row r="10" spans="1:9" hidden="1">
      <c r="A10" s="234" t="s">
        <v>153</v>
      </c>
      <c r="B10" s="236">
        <v>156</v>
      </c>
      <c r="C10" s="236">
        <v>337</v>
      </c>
      <c r="D10" s="236">
        <v>281</v>
      </c>
      <c r="E10" s="236">
        <v>472</v>
      </c>
      <c r="F10" s="236">
        <v>718</v>
      </c>
      <c r="G10" s="236">
        <v>1224</v>
      </c>
      <c r="H10" s="236">
        <v>1957</v>
      </c>
      <c r="I10" s="237">
        <v>5145</v>
      </c>
    </row>
    <row r="11" spans="1:9" hidden="1">
      <c r="A11" s="234" t="s">
        <v>154</v>
      </c>
      <c r="B11" s="236">
        <v>165</v>
      </c>
      <c r="C11" s="236">
        <v>355</v>
      </c>
      <c r="D11" s="236">
        <v>303</v>
      </c>
      <c r="E11" s="236">
        <v>422</v>
      </c>
      <c r="F11" s="236">
        <v>752</v>
      </c>
      <c r="G11" s="236">
        <v>1258</v>
      </c>
      <c r="H11" s="236">
        <v>2100</v>
      </c>
      <c r="I11" s="237">
        <v>5355</v>
      </c>
    </row>
    <row r="12" spans="1:9" hidden="1">
      <c r="A12" s="234" t="s">
        <v>155</v>
      </c>
      <c r="B12" s="236">
        <v>163</v>
      </c>
      <c r="C12" s="236">
        <v>331</v>
      </c>
      <c r="D12" s="236">
        <v>240</v>
      </c>
      <c r="E12" s="236">
        <v>494</v>
      </c>
      <c r="F12" s="236">
        <v>858</v>
      </c>
      <c r="G12" s="236">
        <v>1054</v>
      </c>
      <c r="H12" s="236">
        <v>2409</v>
      </c>
      <c r="I12" s="237">
        <v>5549</v>
      </c>
    </row>
    <row r="13" spans="1:9" hidden="1">
      <c r="A13" s="234" t="s">
        <v>156</v>
      </c>
      <c r="B13" s="236">
        <v>166</v>
      </c>
      <c r="C13" s="236">
        <v>328</v>
      </c>
      <c r="D13" s="236">
        <v>250</v>
      </c>
      <c r="E13" s="236">
        <v>474</v>
      </c>
      <c r="F13" s="236">
        <v>885</v>
      </c>
      <c r="G13" s="236">
        <v>1186</v>
      </c>
      <c r="H13" s="236">
        <v>2425</v>
      </c>
      <c r="I13" s="237">
        <v>5714</v>
      </c>
    </row>
    <row r="14" spans="1:9" hidden="1">
      <c r="A14" s="243"/>
      <c r="B14" s="245"/>
      <c r="C14" s="245"/>
      <c r="D14" s="245"/>
      <c r="E14" s="245"/>
      <c r="F14" s="245"/>
      <c r="G14" s="245"/>
      <c r="H14" s="245"/>
      <c r="I14" s="246"/>
    </row>
    <row r="15" spans="1:9" hidden="1">
      <c r="A15" s="234" t="s">
        <v>51</v>
      </c>
      <c r="B15" s="236">
        <v>156</v>
      </c>
      <c r="C15" s="236">
        <v>309</v>
      </c>
      <c r="D15" s="236">
        <v>253</v>
      </c>
      <c r="E15" s="236">
        <v>451</v>
      </c>
      <c r="F15" s="236">
        <v>866</v>
      </c>
      <c r="G15" s="236">
        <v>1194</v>
      </c>
      <c r="H15" s="236">
        <v>2562</v>
      </c>
      <c r="I15" s="237">
        <v>5791</v>
      </c>
    </row>
    <row r="16" spans="1:9" hidden="1">
      <c r="A16" s="234" t="s">
        <v>52</v>
      </c>
      <c r="B16" s="236">
        <v>142</v>
      </c>
      <c r="C16" s="236">
        <v>321</v>
      </c>
      <c r="D16" s="236">
        <v>231</v>
      </c>
      <c r="E16" s="236">
        <v>411</v>
      </c>
      <c r="F16" s="236">
        <v>1011</v>
      </c>
      <c r="G16" s="236">
        <v>1217</v>
      </c>
      <c r="H16" s="236">
        <v>2342</v>
      </c>
      <c r="I16" s="237">
        <v>5675</v>
      </c>
    </row>
    <row r="17" spans="1:9">
      <c r="A17" s="234" t="s">
        <v>53</v>
      </c>
      <c r="B17" s="236">
        <v>140</v>
      </c>
      <c r="C17" s="236">
        <v>327</v>
      </c>
      <c r="D17" s="236">
        <v>204</v>
      </c>
      <c r="E17" s="236">
        <v>449</v>
      </c>
      <c r="F17" s="236">
        <v>933</v>
      </c>
      <c r="G17" s="236">
        <v>1284</v>
      </c>
      <c r="H17" s="236">
        <v>1949</v>
      </c>
      <c r="I17" s="237">
        <v>5286</v>
      </c>
    </row>
    <row r="18" spans="1:9">
      <c r="A18" s="243"/>
      <c r="B18" s="245"/>
      <c r="C18" s="245"/>
      <c r="D18" s="245"/>
      <c r="E18" s="245"/>
      <c r="F18" s="245"/>
      <c r="G18" s="245"/>
      <c r="H18" s="245"/>
      <c r="I18" s="246"/>
    </row>
    <row r="19" spans="1:9" ht="14.25">
      <c r="A19" s="534" t="s">
        <v>157</v>
      </c>
      <c r="B19" s="236">
        <v>68</v>
      </c>
      <c r="C19" s="236">
        <v>327</v>
      </c>
      <c r="D19" s="236">
        <v>204</v>
      </c>
      <c r="E19" s="236">
        <v>449</v>
      </c>
      <c r="F19" s="236">
        <v>933</v>
      </c>
      <c r="G19" s="236">
        <v>1284</v>
      </c>
      <c r="H19" s="236">
        <v>1949</v>
      </c>
      <c r="I19" s="237">
        <v>5214</v>
      </c>
    </row>
    <row r="20" spans="1:9">
      <c r="A20" s="234" t="s">
        <v>54</v>
      </c>
      <c r="B20" s="236">
        <v>67</v>
      </c>
      <c r="C20" s="236">
        <v>314</v>
      </c>
      <c r="D20" s="236">
        <v>179</v>
      </c>
      <c r="E20" s="236">
        <v>439</v>
      </c>
      <c r="F20" s="236">
        <v>827</v>
      </c>
      <c r="G20" s="236">
        <v>1280</v>
      </c>
      <c r="H20" s="236">
        <v>2246</v>
      </c>
      <c r="I20" s="237">
        <v>5352</v>
      </c>
    </row>
    <row r="21" spans="1:9" hidden="1">
      <c r="A21" s="234" t="s">
        <v>55</v>
      </c>
      <c r="B21" s="236">
        <v>62</v>
      </c>
      <c r="C21" s="236">
        <v>305</v>
      </c>
      <c r="D21" s="236">
        <v>191</v>
      </c>
      <c r="E21" s="236">
        <v>466</v>
      </c>
      <c r="F21" s="236">
        <v>811</v>
      </c>
      <c r="G21" s="236">
        <v>1331</v>
      </c>
      <c r="H21" s="236">
        <v>2280</v>
      </c>
      <c r="I21" s="237">
        <v>5446</v>
      </c>
    </row>
    <row r="22" spans="1:9">
      <c r="A22" s="243"/>
      <c r="B22" s="245"/>
      <c r="C22" s="245"/>
      <c r="D22" s="245"/>
      <c r="E22" s="245"/>
      <c r="F22" s="245"/>
      <c r="G22" s="245"/>
      <c r="H22" s="245"/>
      <c r="I22" s="246"/>
    </row>
    <row r="23" spans="1:9">
      <c r="A23" s="234" t="s">
        <v>56</v>
      </c>
      <c r="B23" s="236">
        <v>63</v>
      </c>
      <c r="C23" s="236">
        <v>284</v>
      </c>
      <c r="D23" s="236">
        <v>192</v>
      </c>
      <c r="E23" s="236">
        <v>443</v>
      </c>
      <c r="F23" s="236">
        <v>829</v>
      </c>
      <c r="G23" s="236">
        <v>1113</v>
      </c>
      <c r="H23" s="236">
        <v>2508</v>
      </c>
      <c r="I23" s="237">
        <v>5432</v>
      </c>
    </row>
    <row r="24" spans="1:9" hidden="1">
      <c r="A24" s="234" t="s">
        <v>57</v>
      </c>
      <c r="B24" s="236">
        <v>61</v>
      </c>
      <c r="C24" s="236">
        <v>257</v>
      </c>
      <c r="D24" s="236">
        <v>213</v>
      </c>
      <c r="E24" s="236">
        <v>425</v>
      </c>
      <c r="F24" s="236">
        <v>763</v>
      </c>
      <c r="G24" s="236">
        <v>1327</v>
      </c>
      <c r="H24" s="236">
        <v>2165</v>
      </c>
      <c r="I24" s="237">
        <v>5211</v>
      </c>
    </row>
    <row r="25" spans="1:9" hidden="1">
      <c r="A25" s="234" t="s">
        <v>58</v>
      </c>
      <c r="B25" s="236">
        <v>52</v>
      </c>
      <c r="C25" s="236">
        <v>264</v>
      </c>
      <c r="D25" s="236">
        <v>208</v>
      </c>
      <c r="E25" s="236">
        <v>382</v>
      </c>
      <c r="F25" s="236">
        <v>866</v>
      </c>
      <c r="G25" s="236">
        <v>977</v>
      </c>
      <c r="H25" s="236">
        <v>2731</v>
      </c>
      <c r="I25" s="237">
        <v>5480</v>
      </c>
    </row>
    <row r="26" spans="1:9">
      <c r="A26" s="234" t="s">
        <v>59</v>
      </c>
      <c r="B26" s="236">
        <v>54</v>
      </c>
      <c r="C26" s="236">
        <v>259</v>
      </c>
      <c r="D26" s="236">
        <v>188</v>
      </c>
      <c r="E26" s="236">
        <v>404</v>
      </c>
      <c r="F26" s="236">
        <v>750</v>
      </c>
      <c r="G26" s="236">
        <v>1024</v>
      </c>
      <c r="H26" s="236">
        <v>2835</v>
      </c>
      <c r="I26" s="237">
        <v>5514</v>
      </c>
    </row>
    <row r="27" spans="1:9" hidden="1">
      <c r="A27" s="234" t="s">
        <v>60</v>
      </c>
      <c r="B27" s="236">
        <v>53</v>
      </c>
      <c r="C27" s="236">
        <v>239</v>
      </c>
      <c r="D27" s="236">
        <v>210</v>
      </c>
      <c r="E27" s="236">
        <v>372</v>
      </c>
      <c r="F27" s="236">
        <v>760</v>
      </c>
      <c r="G27" s="236">
        <v>1095</v>
      </c>
      <c r="H27" s="236">
        <v>2869</v>
      </c>
      <c r="I27" s="237">
        <v>5598</v>
      </c>
    </row>
    <row r="28" spans="1:9">
      <c r="A28" s="234" t="s">
        <v>158</v>
      </c>
      <c r="B28" s="236">
        <v>48</v>
      </c>
      <c r="C28" s="236">
        <v>246</v>
      </c>
      <c r="D28" s="236">
        <v>180</v>
      </c>
      <c r="E28" s="236">
        <v>332</v>
      </c>
      <c r="F28" s="236">
        <v>852</v>
      </c>
      <c r="G28" s="236">
        <v>1292</v>
      </c>
      <c r="H28" s="236">
        <v>3068</v>
      </c>
      <c r="I28" s="237">
        <v>6231</v>
      </c>
    </row>
    <row r="29" spans="1:9" s="256" customFormat="1" ht="20.100000000000001" customHeight="1">
      <c r="A29" s="248"/>
      <c r="B29" s="251" t="s">
        <v>264</v>
      </c>
      <c r="C29" s="535"/>
      <c r="D29" s="251"/>
      <c r="E29" s="535"/>
      <c r="F29" s="535"/>
      <c r="G29" s="535"/>
      <c r="H29" s="535"/>
      <c r="I29" s="536"/>
    </row>
    <row r="30" spans="1:9">
      <c r="A30" s="234" t="s">
        <v>50</v>
      </c>
      <c r="B30" s="236">
        <v>49</v>
      </c>
      <c r="C30" s="236">
        <v>155</v>
      </c>
      <c r="D30" s="236">
        <v>182</v>
      </c>
      <c r="E30" s="236">
        <v>301</v>
      </c>
      <c r="F30" s="236">
        <v>562</v>
      </c>
      <c r="G30" s="236">
        <v>674</v>
      </c>
      <c r="H30" s="257" t="s">
        <v>160</v>
      </c>
      <c r="I30" s="237">
        <v>1923</v>
      </c>
    </row>
    <row r="31" spans="1:9" hidden="1">
      <c r="A31" s="234" t="s">
        <v>153</v>
      </c>
      <c r="B31" s="236">
        <v>48</v>
      </c>
      <c r="C31" s="236">
        <v>154</v>
      </c>
      <c r="D31" s="236">
        <v>170</v>
      </c>
      <c r="E31" s="236">
        <v>292</v>
      </c>
      <c r="F31" s="236">
        <v>562</v>
      </c>
      <c r="G31" s="236">
        <v>685</v>
      </c>
      <c r="H31" s="257" t="s">
        <v>160</v>
      </c>
      <c r="I31" s="237">
        <v>1911</v>
      </c>
    </row>
    <row r="32" spans="1:9" hidden="1">
      <c r="A32" s="234" t="s">
        <v>154</v>
      </c>
      <c r="B32" s="236">
        <v>46</v>
      </c>
      <c r="C32" s="236">
        <v>152</v>
      </c>
      <c r="D32" s="236">
        <v>162</v>
      </c>
      <c r="E32" s="236">
        <v>293</v>
      </c>
      <c r="F32" s="236">
        <v>562</v>
      </c>
      <c r="G32" s="236">
        <v>687</v>
      </c>
      <c r="H32" s="257" t="s">
        <v>160</v>
      </c>
      <c r="I32" s="237">
        <v>1902</v>
      </c>
    </row>
    <row r="33" spans="1:9" hidden="1">
      <c r="A33" s="234" t="s">
        <v>155</v>
      </c>
      <c r="B33" s="236">
        <v>44</v>
      </c>
      <c r="C33" s="236">
        <v>151</v>
      </c>
      <c r="D33" s="236">
        <v>162</v>
      </c>
      <c r="E33" s="236">
        <v>295</v>
      </c>
      <c r="F33" s="236">
        <v>561</v>
      </c>
      <c r="G33" s="236">
        <v>689</v>
      </c>
      <c r="H33" s="257" t="s">
        <v>160</v>
      </c>
      <c r="I33" s="237">
        <v>1902</v>
      </c>
    </row>
    <row r="34" spans="1:9" hidden="1">
      <c r="A34" s="234" t="s">
        <v>156</v>
      </c>
      <c r="B34" s="236">
        <v>42</v>
      </c>
      <c r="C34" s="236">
        <v>150</v>
      </c>
      <c r="D34" s="236">
        <v>162</v>
      </c>
      <c r="E34" s="236">
        <v>294</v>
      </c>
      <c r="F34" s="236">
        <v>560</v>
      </c>
      <c r="G34" s="236">
        <v>706</v>
      </c>
      <c r="H34" s="257" t="s">
        <v>160</v>
      </c>
      <c r="I34" s="237">
        <v>1914</v>
      </c>
    </row>
    <row r="35" spans="1:9" hidden="1">
      <c r="A35" s="243"/>
      <c r="B35" s="245"/>
      <c r="C35" s="245"/>
      <c r="D35" s="245"/>
      <c r="E35" s="245"/>
      <c r="F35" s="245"/>
      <c r="G35" s="245"/>
      <c r="H35" s="245"/>
      <c r="I35" s="246"/>
    </row>
    <row r="36" spans="1:9" hidden="1">
      <c r="A36" s="234" t="s">
        <v>51</v>
      </c>
      <c r="B36" s="236">
        <v>40</v>
      </c>
      <c r="C36" s="236">
        <v>150</v>
      </c>
      <c r="D36" s="236">
        <v>160</v>
      </c>
      <c r="E36" s="236">
        <v>311</v>
      </c>
      <c r="F36" s="236">
        <v>551</v>
      </c>
      <c r="G36" s="236">
        <v>708</v>
      </c>
      <c r="H36" s="257" t="s">
        <v>160</v>
      </c>
      <c r="I36" s="237">
        <v>1920</v>
      </c>
    </row>
    <row r="37" spans="1:9" hidden="1">
      <c r="A37" s="234" t="s">
        <v>52</v>
      </c>
      <c r="B37" s="236">
        <v>38</v>
      </c>
      <c r="C37" s="236">
        <v>150</v>
      </c>
      <c r="D37" s="236">
        <v>154</v>
      </c>
      <c r="E37" s="236">
        <v>364</v>
      </c>
      <c r="F37" s="236">
        <v>547</v>
      </c>
      <c r="G37" s="236">
        <v>709</v>
      </c>
      <c r="H37" s="257" t="s">
        <v>160</v>
      </c>
      <c r="I37" s="237">
        <v>1962</v>
      </c>
    </row>
    <row r="38" spans="1:9">
      <c r="A38" s="234" t="s">
        <v>53</v>
      </c>
      <c r="B38" s="236">
        <v>36</v>
      </c>
      <c r="C38" s="236">
        <v>156</v>
      </c>
      <c r="D38" s="236">
        <v>137</v>
      </c>
      <c r="E38" s="236">
        <v>394</v>
      </c>
      <c r="F38" s="236">
        <v>537</v>
      </c>
      <c r="G38" s="236">
        <v>711</v>
      </c>
      <c r="H38" s="537" t="s">
        <v>161</v>
      </c>
      <c r="I38" s="237">
        <v>1971</v>
      </c>
    </row>
    <row r="39" spans="1:9">
      <c r="A39" s="234" t="s">
        <v>54</v>
      </c>
      <c r="B39" s="236">
        <v>35</v>
      </c>
      <c r="C39" s="236">
        <v>155</v>
      </c>
      <c r="D39" s="236">
        <v>163</v>
      </c>
      <c r="E39" s="236">
        <v>389</v>
      </c>
      <c r="F39" s="236">
        <v>544</v>
      </c>
      <c r="G39" s="236">
        <v>779</v>
      </c>
      <c r="H39" s="537" t="s">
        <v>161</v>
      </c>
      <c r="I39" s="237">
        <v>2065</v>
      </c>
    </row>
    <row r="40" spans="1:9">
      <c r="A40" s="234" t="s">
        <v>55</v>
      </c>
      <c r="B40" s="236">
        <v>33</v>
      </c>
      <c r="C40" s="236">
        <v>146</v>
      </c>
      <c r="D40" s="236">
        <v>129</v>
      </c>
      <c r="E40" s="236">
        <v>367</v>
      </c>
      <c r="F40" s="236">
        <v>545</v>
      </c>
      <c r="G40" s="236">
        <v>800</v>
      </c>
      <c r="H40" s="537" t="s">
        <v>161</v>
      </c>
      <c r="I40" s="237">
        <v>2020</v>
      </c>
    </row>
    <row r="41" spans="1:9">
      <c r="A41" s="243"/>
      <c r="B41" s="245"/>
      <c r="C41" s="245"/>
      <c r="D41" s="245"/>
      <c r="E41" s="245"/>
      <c r="F41" s="245"/>
      <c r="G41" s="245"/>
      <c r="H41" s="481"/>
      <c r="I41" s="246"/>
    </row>
    <row r="42" spans="1:9">
      <c r="A42" s="234" t="s">
        <v>56</v>
      </c>
      <c r="B42" s="236">
        <v>31</v>
      </c>
      <c r="C42" s="236">
        <v>139</v>
      </c>
      <c r="D42" s="236">
        <v>118</v>
      </c>
      <c r="E42" s="236">
        <v>363</v>
      </c>
      <c r="F42" s="236">
        <v>548</v>
      </c>
      <c r="G42" s="236">
        <v>803</v>
      </c>
      <c r="H42" s="537" t="s">
        <v>161</v>
      </c>
      <c r="I42" s="237">
        <v>2002</v>
      </c>
    </row>
    <row r="43" spans="1:9" hidden="1">
      <c r="A43" s="234" t="s">
        <v>57</v>
      </c>
      <c r="B43" s="236">
        <v>29</v>
      </c>
      <c r="C43" s="236">
        <v>143</v>
      </c>
      <c r="D43" s="236">
        <v>112</v>
      </c>
      <c r="E43" s="236">
        <v>359</v>
      </c>
      <c r="F43" s="236">
        <v>550</v>
      </c>
      <c r="G43" s="236">
        <v>831</v>
      </c>
      <c r="H43" s="537" t="s">
        <v>161</v>
      </c>
      <c r="I43" s="237">
        <v>2024</v>
      </c>
    </row>
    <row r="44" spans="1:9">
      <c r="A44" s="234" t="s">
        <v>58</v>
      </c>
      <c r="B44" s="236">
        <v>27</v>
      </c>
      <c r="C44" s="236">
        <v>160</v>
      </c>
      <c r="D44" s="236">
        <v>111</v>
      </c>
      <c r="E44" s="236">
        <v>353</v>
      </c>
      <c r="F44" s="236">
        <v>552</v>
      </c>
      <c r="G44" s="236">
        <v>855</v>
      </c>
      <c r="H44" s="537" t="s">
        <v>161</v>
      </c>
      <c r="I44" s="237">
        <v>2058</v>
      </c>
    </row>
    <row r="45" spans="1:9" hidden="1">
      <c r="A45" s="234" t="s">
        <v>59</v>
      </c>
      <c r="B45" s="236">
        <v>25</v>
      </c>
      <c r="C45" s="236">
        <v>144</v>
      </c>
      <c r="D45" s="236">
        <v>104</v>
      </c>
      <c r="E45" s="236">
        <v>330</v>
      </c>
      <c r="F45" s="236">
        <v>551</v>
      </c>
      <c r="G45" s="236">
        <v>854</v>
      </c>
      <c r="H45" s="537" t="s">
        <v>161</v>
      </c>
      <c r="I45" s="237">
        <v>2008</v>
      </c>
    </row>
    <row r="46" spans="1:9" hidden="1">
      <c r="A46" s="234" t="s">
        <v>60</v>
      </c>
      <c r="B46" s="259" t="s">
        <v>183</v>
      </c>
      <c r="C46" s="259" t="s">
        <v>183</v>
      </c>
      <c r="D46" s="259" t="s">
        <v>183</v>
      </c>
      <c r="E46" s="259" t="s">
        <v>183</v>
      </c>
      <c r="F46" s="259" t="s">
        <v>183</v>
      </c>
      <c r="G46" s="259" t="s">
        <v>183</v>
      </c>
      <c r="H46" s="259" t="s">
        <v>183</v>
      </c>
      <c r="I46" s="260" t="s">
        <v>183</v>
      </c>
    </row>
    <row r="47" spans="1:9">
      <c r="A47" s="234" t="s">
        <v>61</v>
      </c>
      <c r="B47" s="236">
        <v>10</v>
      </c>
      <c r="C47" s="236">
        <v>43</v>
      </c>
      <c r="D47" s="236">
        <v>89</v>
      </c>
      <c r="E47" s="236">
        <v>138</v>
      </c>
      <c r="F47" s="236">
        <v>212</v>
      </c>
      <c r="G47" s="236">
        <v>485</v>
      </c>
      <c r="H47" s="257" t="s">
        <v>160</v>
      </c>
      <c r="I47" s="261">
        <v>987</v>
      </c>
    </row>
    <row r="48" spans="1:9" s="256" customFormat="1" ht="20.100000000000001" customHeight="1">
      <c r="A48" s="248"/>
      <c r="B48" s="251" t="s">
        <v>30</v>
      </c>
      <c r="C48" s="535"/>
      <c r="D48" s="251"/>
      <c r="E48" s="535"/>
      <c r="F48" s="535"/>
      <c r="G48" s="535"/>
      <c r="H48" s="535"/>
      <c r="I48" s="538"/>
    </row>
    <row r="49" spans="1:9" hidden="1">
      <c r="A49" s="234" t="s">
        <v>61</v>
      </c>
      <c r="B49" s="236">
        <v>58</v>
      </c>
      <c r="C49" s="236">
        <v>289</v>
      </c>
      <c r="D49" s="236">
        <v>269</v>
      </c>
      <c r="E49" s="236">
        <v>470</v>
      </c>
      <c r="F49" s="236">
        <v>1064</v>
      </c>
      <c r="G49" s="236">
        <v>1777</v>
      </c>
      <c r="H49" s="236">
        <v>3281</v>
      </c>
      <c r="I49" s="539">
        <v>7218</v>
      </c>
    </row>
    <row r="50" spans="1:9" hidden="1">
      <c r="A50" s="234" t="s">
        <v>63</v>
      </c>
      <c r="B50" s="236">
        <v>57</v>
      </c>
      <c r="C50" s="236">
        <v>284</v>
      </c>
      <c r="D50" s="236">
        <v>224</v>
      </c>
      <c r="E50" s="236">
        <v>421</v>
      </c>
      <c r="F50" s="236">
        <v>1017</v>
      </c>
      <c r="G50" s="264">
        <v>2124</v>
      </c>
      <c r="H50" s="264">
        <v>2762</v>
      </c>
      <c r="I50" s="539">
        <v>7115</v>
      </c>
    </row>
    <row r="51" spans="1:9" hidden="1">
      <c r="A51" s="265" t="s">
        <v>64</v>
      </c>
      <c r="B51" s="267">
        <v>52.113</v>
      </c>
      <c r="C51" s="267">
        <v>262.19</v>
      </c>
      <c r="D51" s="267">
        <v>254.672</v>
      </c>
      <c r="E51" s="267">
        <v>427.97199999999998</v>
      </c>
      <c r="F51" s="267">
        <v>908.18200000000002</v>
      </c>
      <c r="G51" s="267">
        <v>2076.078</v>
      </c>
      <c r="H51" s="267">
        <v>2967.971</v>
      </c>
      <c r="I51" s="262">
        <v>7173</v>
      </c>
    </row>
    <row r="52" spans="1:9" ht="12.75" hidden="1" customHeight="1">
      <c r="A52" s="265" t="s">
        <v>65</v>
      </c>
      <c r="B52" s="267">
        <v>56.329000000000001</v>
      </c>
      <c r="C52" s="267">
        <v>254.63800000000001</v>
      </c>
      <c r="D52" s="267">
        <v>256.26100000000002</v>
      </c>
      <c r="E52" s="267">
        <v>433.04599999999999</v>
      </c>
      <c r="F52" s="267">
        <v>820.73599999999999</v>
      </c>
      <c r="G52" s="267">
        <v>1950.62</v>
      </c>
      <c r="H52" s="267">
        <v>3162.97</v>
      </c>
      <c r="I52" s="262">
        <v>7192</v>
      </c>
    </row>
    <row r="53" spans="1:9" ht="12.75" hidden="1" customHeight="1">
      <c r="A53" s="265" t="s">
        <v>66</v>
      </c>
      <c r="B53" s="267">
        <v>44.16</v>
      </c>
      <c r="C53" s="267">
        <v>235.67099999999999</v>
      </c>
      <c r="D53" s="267">
        <v>212.02099999999999</v>
      </c>
      <c r="E53" s="267">
        <v>366.37799999999999</v>
      </c>
      <c r="F53" s="267">
        <v>717.81500000000005</v>
      </c>
      <c r="G53" s="267">
        <v>2071.2719999999999</v>
      </c>
      <c r="H53" s="267">
        <v>3235.7890000000002</v>
      </c>
      <c r="I53" s="262">
        <v>7157.5969999999998</v>
      </c>
    </row>
    <row r="54" spans="1:9" ht="12.75" customHeight="1">
      <c r="A54" s="265" t="s">
        <v>67</v>
      </c>
      <c r="B54" s="267">
        <v>43.372</v>
      </c>
      <c r="C54" s="267">
        <v>215.49600000000001</v>
      </c>
      <c r="D54" s="267">
        <v>234.72900000000001</v>
      </c>
      <c r="E54" s="267">
        <v>337.39400000000001</v>
      </c>
      <c r="F54" s="267">
        <v>775.58900000000006</v>
      </c>
      <c r="G54" s="267">
        <v>1783.4290000000001</v>
      </c>
      <c r="H54" s="267">
        <v>3531.4050000000002</v>
      </c>
      <c r="I54" s="262">
        <v>7214.58</v>
      </c>
    </row>
    <row r="55" spans="1:9" ht="12.75" hidden="1" customHeight="1">
      <c r="A55" s="265" t="s">
        <v>68</v>
      </c>
      <c r="B55" s="267">
        <v>38.207000000000001</v>
      </c>
      <c r="C55" s="267">
        <v>213.678</v>
      </c>
      <c r="D55" s="267">
        <v>242.023</v>
      </c>
      <c r="E55" s="267">
        <v>335.96899999999999</v>
      </c>
      <c r="F55" s="267">
        <v>767.11900000000003</v>
      </c>
      <c r="G55" s="267">
        <v>1645.174</v>
      </c>
      <c r="H55" s="267">
        <v>3923.442</v>
      </c>
      <c r="I55" s="262">
        <v>7473.5830000000005</v>
      </c>
    </row>
    <row r="56" spans="1:9" ht="12.75" hidden="1" customHeight="1">
      <c r="A56" s="265" t="s">
        <v>69</v>
      </c>
      <c r="B56" s="267">
        <v>40.386000000000003</v>
      </c>
      <c r="C56" s="267">
        <v>209.58199999999999</v>
      </c>
      <c r="D56" s="267">
        <v>231.369</v>
      </c>
      <c r="E56" s="267">
        <v>305.01299999999998</v>
      </c>
      <c r="F56" s="267">
        <v>651.01599999999996</v>
      </c>
      <c r="G56" s="267">
        <v>1779.5650000000001</v>
      </c>
      <c r="H56" s="267">
        <v>4055.6840000000002</v>
      </c>
      <c r="I56" s="262">
        <v>7592.5</v>
      </c>
    </row>
    <row r="57" spans="1:9" s="244" customFormat="1" ht="12.75" hidden="1" customHeight="1">
      <c r="A57" s="269" t="s">
        <v>70</v>
      </c>
      <c r="B57" s="267">
        <v>36.628</v>
      </c>
      <c r="C57" s="267">
        <v>205.62200000000001</v>
      </c>
      <c r="D57" s="267">
        <v>197.221</v>
      </c>
      <c r="E57" s="267">
        <v>310.26100000000002</v>
      </c>
      <c r="F57" s="267">
        <v>625.774</v>
      </c>
      <c r="G57" s="267">
        <v>1516.2940000000001</v>
      </c>
      <c r="H57" s="267">
        <v>4259.9480000000003</v>
      </c>
      <c r="I57" s="262">
        <v>7448.7170000000006</v>
      </c>
    </row>
    <row r="58" spans="1:9" ht="12.75" customHeight="1">
      <c r="A58" s="269" t="s">
        <v>71</v>
      </c>
      <c r="B58" s="267">
        <v>34.466000000000001</v>
      </c>
      <c r="C58" s="267">
        <v>192.10499999999999</v>
      </c>
      <c r="D58" s="267">
        <v>191.37299999999999</v>
      </c>
      <c r="E58" s="267">
        <v>287.19</v>
      </c>
      <c r="F58" s="267">
        <v>598.46900000000005</v>
      </c>
      <c r="G58" s="267">
        <v>1628.3340000000001</v>
      </c>
      <c r="H58" s="267">
        <v>4516.308</v>
      </c>
      <c r="I58" s="262">
        <v>7773.6970000000001</v>
      </c>
    </row>
    <row r="59" spans="1:9" s="244" customFormat="1" ht="14.1" hidden="1" customHeight="1">
      <c r="A59" s="540" t="s">
        <v>265</v>
      </c>
      <c r="B59" s="541" t="s">
        <v>188</v>
      </c>
      <c r="C59" s="535"/>
      <c r="D59" s="542">
        <v>374.46800000000002</v>
      </c>
      <c r="E59" s="267">
        <v>255.33</v>
      </c>
      <c r="F59" s="267">
        <v>541.42599999999993</v>
      </c>
      <c r="G59" s="267">
        <v>1862.4580000000001</v>
      </c>
      <c r="H59" s="267">
        <v>4234.6030000000001</v>
      </c>
      <c r="I59" s="262">
        <v>7621.9549999999999</v>
      </c>
    </row>
    <row r="60" spans="1:9" s="547" customFormat="1">
      <c r="A60" s="543"/>
      <c r="B60" s="544">
        <v>500</v>
      </c>
      <c r="C60" s="545" t="s">
        <v>17</v>
      </c>
      <c r="D60" s="545" t="s">
        <v>176</v>
      </c>
      <c r="E60" s="545" t="s">
        <v>18</v>
      </c>
      <c r="F60" s="545" t="s">
        <v>19</v>
      </c>
      <c r="G60" s="545" t="s">
        <v>190</v>
      </c>
      <c r="H60" s="544"/>
      <c r="I60" s="546"/>
    </row>
    <row r="61" spans="1:9" s="547" customFormat="1" ht="14.25">
      <c r="A61" s="220" t="s">
        <v>266</v>
      </c>
      <c r="B61" s="548" t="s">
        <v>22</v>
      </c>
      <c r="C61" s="548" t="s">
        <v>22</v>
      </c>
      <c r="D61" s="548" t="s">
        <v>22</v>
      </c>
      <c r="E61" s="548" t="s">
        <v>22</v>
      </c>
      <c r="F61" s="548" t="s">
        <v>22</v>
      </c>
      <c r="G61" s="548" t="s">
        <v>22</v>
      </c>
      <c r="H61" s="548" t="s">
        <v>193</v>
      </c>
      <c r="I61" s="549" t="s">
        <v>177</v>
      </c>
    </row>
    <row r="62" spans="1:9" s="547" customFormat="1">
      <c r="A62" s="550"/>
      <c r="B62" s="551" t="s">
        <v>26</v>
      </c>
      <c r="C62" s="551" t="s">
        <v>176</v>
      </c>
      <c r="D62" s="551" t="s">
        <v>18</v>
      </c>
      <c r="E62" s="551" t="s">
        <v>19</v>
      </c>
      <c r="F62" s="551" t="s">
        <v>23</v>
      </c>
      <c r="G62" s="551" t="s">
        <v>195</v>
      </c>
      <c r="H62" s="551" t="s">
        <v>29</v>
      </c>
      <c r="I62" s="552"/>
    </row>
    <row r="63" spans="1:9" ht="20.100000000000001" customHeight="1">
      <c r="A63" s="553"/>
      <c r="B63" s="554" t="s">
        <v>30</v>
      </c>
      <c r="C63" s="555"/>
      <c r="D63" s="555"/>
      <c r="E63" s="555"/>
      <c r="F63" s="555"/>
      <c r="G63" s="555"/>
      <c r="H63" s="556"/>
      <c r="I63" s="557"/>
    </row>
    <row r="64" spans="1:9" ht="12.75" customHeight="1">
      <c r="A64" s="534" t="s">
        <v>71</v>
      </c>
      <c r="B64" s="558">
        <v>383.47799999999995</v>
      </c>
      <c r="C64" s="559">
        <v>287.19</v>
      </c>
      <c r="D64" s="559">
        <v>598.46900000000005</v>
      </c>
      <c r="E64" s="560">
        <v>1628.3340000000001</v>
      </c>
      <c r="F64" s="561"/>
      <c r="G64" s="560">
        <v>4516.308</v>
      </c>
      <c r="H64" s="562"/>
      <c r="I64" s="563">
        <v>7739.2310000000007</v>
      </c>
    </row>
    <row r="65" spans="1:9" ht="14.1" customHeight="1">
      <c r="A65" s="540" t="s">
        <v>163</v>
      </c>
      <c r="B65" s="558">
        <v>374.46800000000002</v>
      </c>
      <c r="C65" s="559">
        <v>255.33</v>
      </c>
      <c r="D65" s="559">
        <v>541.42599999999993</v>
      </c>
      <c r="E65" s="559">
        <v>1022.447</v>
      </c>
      <c r="F65" s="564">
        <v>840.01099999999997</v>
      </c>
      <c r="G65" s="559">
        <v>2613.0329999999999</v>
      </c>
      <c r="H65" s="565">
        <v>1621.57</v>
      </c>
      <c r="I65" s="563">
        <v>7621.9549999999999</v>
      </c>
    </row>
    <row r="66" spans="1:9" ht="14.1" hidden="1" customHeight="1">
      <c r="A66" s="540" t="s">
        <v>72</v>
      </c>
      <c r="B66" s="558">
        <v>369.017</v>
      </c>
      <c r="C66" s="559">
        <v>261.65800000000002</v>
      </c>
      <c r="D66" s="559">
        <v>622.65899999999999</v>
      </c>
      <c r="E66" s="559">
        <v>835.14499999999998</v>
      </c>
      <c r="F66" s="559">
        <v>1056.212</v>
      </c>
      <c r="G66" s="559">
        <v>2465.6109999999999</v>
      </c>
      <c r="H66" s="565">
        <v>1812.335</v>
      </c>
      <c r="I66" s="563">
        <v>7771.7449999999999</v>
      </c>
    </row>
    <row r="67" spans="1:9" ht="14.1" hidden="1" customHeight="1">
      <c r="A67" s="540" t="s">
        <v>73</v>
      </c>
      <c r="B67" s="558">
        <v>355.125</v>
      </c>
      <c r="C67" s="559">
        <v>251.28200000000001</v>
      </c>
      <c r="D67" s="559">
        <v>533.15499999999997</v>
      </c>
      <c r="E67" s="564">
        <v>830.95899999999995</v>
      </c>
      <c r="F67" s="559">
        <v>1207.77</v>
      </c>
      <c r="G67" s="559">
        <v>2580.1489999999999</v>
      </c>
      <c r="H67" s="565">
        <v>1844.5530000000001</v>
      </c>
      <c r="I67" s="563">
        <v>7933.4219999999996</v>
      </c>
    </row>
    <row r="68" spans="1:9" ht="14.1" customHeight="1">
      <c r="A68" s="540" t="s">
        <v>74</v>
      </c>
      <c r="B68" s="558">
        <v>336.89600000000002</v>
      </c>
      <c r="C68" s="559">
        <v>258.83999999999997</v>
      </c>
      <c r="D68" s="559">
        <v>576.56100000000004</v>
      </c>
      <c r="E68" s="564">
        <v>771.221</v>
      </c>
      <c r="F68" s="559">
        <v>1088.0530000000001</v>
      </c>
      <c r="G68" s="559">
        <v>2461.3380000000002</v>
      </c>
      <c r="H68" s="565">
        <v>1941.212</v>
      </c>
      <c r="I68" s="563">
        <v>7761.8689999999988</v>
      </c>
    </row>
    <row r="69" spans="1:9" ht="14.1" customHeight="1">
      <c r="A69" s="540" t="s">
        <v>75</v>
      </c>
      <c r="B69" s="558">
        <v>338.49799999999999</v>
      </c>
      <c r="C69" s="559">
        <v>240.96199999999999</v>
      </c>
      <c r="D69" s="559">
        <v>539.97199999999998</v>
      </c>
      <c r="E69" s="564">
        <v>774.36300000000006</v>
      </c>
      <c r="F69" s="564">
        <v>932.77200000000005</v>
      </c>
      <c r="G69" s="559">
        <v>2623.6759999999999</v>
      </c>
      <c r="H69" s="565">
        <v>1982.6489999999999</v>
      </c>
      <c r="I69" s="563">
        <v>7773.192</v>
      </c>
    </row>
    <row r="70" spans="1:9" ht="14.1" customHeight="1">
      <c r="A70" s="540" t="s">
        <v>76</v>
      </c>
      <c r="B70" s="558">
        <v>338.048</v>
      </c>
      <c r="C70" s="559">
        <v>222.452</v>
      </c>
      <c r="D70" s="559">
        <v>491.46199999999999</v>
      </c>
      <c r="E70" s="564">
        <v>858.83299999999997</v>
      </c>
      <c r="F70" s="564">
        <v>842.35299999999995</v>
      </c>
      <c r="G70" s="559">
        <v>2598.3890000000001</v>
      </c>
      <c r="H70" s="565">
        <v>2382.886</v>
      </c>
      <c r="I70" s="563">
        <v>8112.2050000000008</v>
      </c>
    </row>
    <row r="71" spans="1:9" s="244" customFormat="1" ht="14.1" customHeight="1">
      <c r="A71" s="540" t="s">
        <v>77</v>
      </c>
      <c r="B71" s="558">
        <v>337.99099999999999</v>
      </c>
      <c r="C71" s="559">
        <v>183.066</v>
      </c>
      <c r="D71" s="559">
        <v>528.75400000000002</v>
      </c>
      <c r="E71" s="564">
        <v>840.31799999999998</v>
      </c>
      <c r="F71" s="564">
        <v>962.73699999999997</v>
      </c>
      <c r="G71" s="559">
        <v>2376.9090000000001</v>
      </c>
      <c r="H71" s="565">
        <v>2330.8119999999999</v>
      </c>
      <c r="I71" s="563">
        <v>7940.4949999999999</v>
      </c>
    </row>
    <row r="72" spans="1:9" s="244" customFormat="1" ht="14.1" customHeight="1">
      <c r="A72" s="540" t="s">
        <v>78</v>
      </c>
      <c r="B72" s="558">
        <v>317.92899999999997</v>
      </c>
      <c r="C72" s="559">
        <v>204.01</v>
      </c>
      <c r="D72" s="559">
        <v>467.33499999999998</v>
      </c>
      <c r="E72" s="564">
        <v>675.85299999999995</v>
      </c>
      <c r="F72" s="559">
        <v>1062.0940000000001</v>
      </c>
      <c r="G72" s="559">
        <v>2440.44</v>
      </c>
      <c r="H72" s="565">
        <v>2582.3330000000001</v>
      </c>
      <c r="I72" s="563">
        <v>8188.6170000000002</v>
      </c>
    </row>
    <row r="73" spans="1:9" s="244" customFormat="1" ht="14.1" customHeight="1">
      <c r="A73" s="540" t="s">
        <v>79</v>
      </c>
      <c r="B73" s="558">
        <v>316.93799999999999</v>
      </c>
      <c r="C73" s="559">
        <v>187.07499999999999</v>
      </c>
      <c r="D73" s="559">
        <v>447.15800000000002</v>
      </c>
      <c r="E73" s="564">
        <v>652.23800000000006</v>
      </c>
      <c r="F73" s="559">
        <v>1164.0609999999999</v>
      </c>
      <c r="G73" s="559">
        <v>2069.1819999999998</v>
      </c>
      <c r="H73" s="565">
        <v>2811.683</v>
      </c>
      <c r="I73" s="563">
        <v>8030.8969999999999</v>
      </c>
    </row>
    <row r="74" spans="1:9" s="244" customFormat="1" ht="14.1" customHeight="1">
      <c r="A74" s="540" t="s">
        <v>80</v>
      </c>
      <c r="B74" s="558">
        <v>302.34399999999999</v>
      </c>
      <c r="C74" s="559">
        <v>152.40799999999999</v>
      </c>
      <c r="D74" s="566">
        <v>413.48200000000003</v>
      </c>
      <c r="E74" s="567">
        <v>573.22900000000004</v>
      </c>
      <c r="F74" s="559">
        <v>1201.847</v>
      </c>
      <c r="G74" s="566">
        <v>1996.4960000000001</v>
      </c>
      <c r="H74" s="568">
        <v>3278.4560000000001</v>
      </c>
      <c r="I74" s="563">
        <v>8315.16</v>
      </c>
    </row>
    <row r="75" spans="1:9" s="244" customFormat="1" ht="14.1" customHeight="1">
      <c r="A75" s="540" t="s">
        <v>81</v>
      </c>
      <c r="B75" s="558">
        <v>285.07100000000003</v>
      </c>
      <c r="C75" s="559">
        <v>181.16200000000001</v>
      </c>
      <c r="D75" s="566">
        <f>378.525-2.426</f>
        <v>376.09899999999999</v>
      </c>
      <c r="E75" s="567">
        <f>709.885-37.63</f>
        <v>672.255</v>
      </c>
      <c r="F75" s="559">
        <v>1139.5429999999999</v>
      </c>
      <c r="G75" s="566">
        <f>2336.536-256.525</f>
        <v>2080.011</v>
      </c>
      <c r="H75" s="568">
        <f>3413.913-147.577</f>
        <v>3266.3360000000002</v>
      </c>
      <c r="I75" s="563">
        <f>SUM(B75:H75)+444.158</f>
        <v>8444.6350000000002</v>
      </c>
    </row>
    <row r="76" spans="1:9" s="244" customFormat="1" ht="14.1" customHeight="1">
      <c r="A76" s="540" t="s">
        <v>82</v>
      </c>
      <c r="B76" s="558">
        <v>277.68099999999998</v>
      </c>
      <c r="C76" s="559">
        <v>194.71</v>
      </c>
      <c r="D76" s="566">
        <v>388.63400000000001</v>
      </c>
      <c r="E76" s="567">
        <v>497.14</v>
      </c>
      <c r="F76" s="559">
        <v>1294.01</v>
      </c>
      <c r="G76" s="566">
        <v>2008.163</v>
      </c>
      <c r="H76" s="568">
        <v>3145.973</v>
      </c>
      <c r="I76" s="563">
        <v>8211.9989999999998</v>
      </c>
    </row>
    <row r="77" spans="1:9" s="244" customFormat="1" ht="14.1" customHeight="1">
      <c r="A77" s="569" t="s">
        <v>267</v>
      </c>
      <c r="B77" s="570">
        <v>213.65200000000002</v>
      </c>
      <c r="C77" s="571">
        <v>182.88900000000001</v>
      </c>
      <c r="D77" s="572">
        <v>355.83199999999999</v>
      </c>
      <c r="E77" s="573">
        <v>581.38499999999999</v>
      </c>
      <c r="F77" s="571">
        <v>1134.6099999999999</v>
      </c>
      <c r="G77" s="572">
        <v>2093.172</v>
      </c>
      <c r="H77" s="574">
        <v>3470.9349999999999</v>
      </c>
      <c r="I77" s="575">
        <v>8447.9439999999995</v>
      </c>
    </row>
    <row r="78" spans="1:9" s="244" customFormat="1" ht="14.1" customHeight="1">
      <c r="A78" s="576"/>
      <c r="B78" s="548"/>
      <c r="C78" s="559"/>
      <c r="D78" s="566"/>
      <c r="E78" s="566"/>
      <c r="F78" s="559"/>
      <c r="G78" s="566"/>
      <c r="H78" s="566"/>
      <c r="I78" s="577"/>
    </row>
    <row r="79" spans="1:9" s="244" customFormat="1" ht="14.1" customHeight="1">
      <c r="A79" s="578" t="s">
        <v>83</v>
      </c>
      <c r="B79" s="548"/>
      <c r="C79" s="559"/>
      <c r="D79" s="566"/>
      <c r="E79" s="566"/>
      <c r="F79" s="559"/>
      <c r="G79" s="566"/>
      <c r="H79" s="566"/>
      <c r="I79" s="577"/>
    </row>
    <row r="80" spans="1:9" s="244" customFormat="1" ht="14.1" customHeight="1">
      <c r="A80" s="576"/>
      <c r="B80" s="548"/>
      <c r="C80" s="559"/>
      <c r="D80" s="566"/>
      <c r="E80" s="566"/>
      <c r="F80" s="559"/>
      <c r="G80" s="566"/>
      <c r="H80" s="566"/>
      <c r="I80" s="577"/>
    </row>
    <row r="81" spans="1:250" s="244" customFormat="1" ht="14.1" customHeight="1">
      <c r="A81" s="204" t="s">
        <v>268</v>
      </c>
      <c r="B81" s="579"/>
      <c r="C81" s="580"/>
      <c r="D81" s="581"/>
      <c r="E81" s="581"/>
      <c r="F81" s="581"/>
      <c r="G81" s="579"/>
      <c r="H81" s="577"/>
      <c r="I81" s="245"/>
      <c r="J81" s="305"/>
      <c r="K81" s="486"/>
      <c r="L81" s="486"/>
      <c r="M81" s="583"/>
      <c r="N81" s="582"/>
      <c r="O81" s="582"/>
      <c r="P81" s="582"/>
      <c r="Q81" s="486"/>
      <c r="R81" s="305"/>
      <c r="S81" s="486"/>
      <c r="T81" s="486"/>
      <c r="U81" s="583"/>
      <c r="V81" s="582"/>
      <c r="W81" s="582"/>
      <c r="X81" s="582"/>
      <c r="Y81" s="486"/>
      <c r="Z81" s="305"/>
      <c r="AA81" s="486"/>
      <c r="AB81" s="486"/>
      <c r="AC81" s="583"/>
      <c r="AD81" s="582"/>
      <c r="AE81" s="582"/>
      <c r="AF81" s="582"/>
      <c r="AG81" s="486"/>
      <c r="AH81" s="305"/>
      <c r="AI81" s="486"/>
      <c r="AJ81" s="486"/>
      <c r="AK81" s="583"/>
      <c r="AL81" s="582"/>
      <c r="AM81" s="582"/>
      <c r="AN81" s="582"/>
      <c r="AO81" s="486"/>
      <c r="AP81" s="305"/>
      <c r="AQ81" s="486"/>
      <c r="AR81" s="486"/>
      <c r="AS81" s="583"/>
      <c r="AT81" s="582"/>
      <c r="AU81" s="582"/>
      <c r="AV81" s="582"/>
      <c r="AW81" s="486"/>
      <c r="AX81" s="305"/>
      <c r="AY81" s="486"/>
      <c r="AZ81" s="486"/>
      <c r="BA81" s="583"/>
      <c r="BB81" s="582"/>
      <c r="BC81" s="582"/>
      <c r="BD81" s="582"/>
      <c r="BE81" s="486"/>
      <c r="BF81" s="305"/>
      <c r="BG81" s="486"/>
      <c r="BH81" s="486"/>
      <c r="BI81" s="583"/>
      <c r="BJ81" s="582"/>
      <c r="BK81" s="582"/>
      <c r="BL81" s="582"/>
      <c r="BM81" s="486"/>
      <c r="BN81" s="305"/>
      <c r="BO81" s="486"/>
      <c r="BP81" s="486"/>
      <c r="BQ81" s="583"/>
      <c r="BR81" s="582"/>
      <c r="BS81" s="582"/>
      <c r="BT81" s="582"/>
      <c r="BU81" s="486"/>
      <c r="BV81" s="305"/>
      <c r="BW81" s="486"/>
      <c r="BX81" s="486"/>
      <c r="BY81" s="583"/>
      <c r="BZ81" s="582"/>
      <c r="CA81" s="582"/>
      <c r="CB81" s="582"/>
      <c r="CC81" s="486"/>
      <c r="CD81" s="305"/>
      <c r="CE81" s="486"/>
      <c r="CF81" s="486"/>
      <c r="CG81" s="583"/>
      <c r="CH81" s="582"/>
      <c r="CI81" s="582"/>
      <c r="CJ81" s="582"/>
      <c r="CK81" s="486"/>
      <c r="CL81" s="305"/>
      <c r="CM81" s="486"/>
      <c r="CN81" s="486"/>
      <c r="CO81" s="583"/>
      <c r="CP81" s="582"/>
      <c r="CQ81" s="582"/>
      <c r="CR81" s="582"/>
      <c r="CS81" s="486"/>
      <c r="CT81" s="305"/>
      <c r="CU81" s="486"/>
      <c r="CV81" s="486"/>
      <c r="CW81" s="583"/>
      <c r="CX81" s="582"/>
      <c r="CY81" s="582"/>
      <c r="CZ81" s="582"/>
      <c r="DA81" s="486"/>
      <c r="DB81" s="305"/>
      <c r="DC81" s="486"/>
      <c r="DD81" s="486"/>
      <c r="DE81" s="583"/>
      <c r="DF81" s="582"/>
      <c r="DG81" s="582"/>
      <c r="DH81" s="582"/>
      <c r="DI81" s="486"/>
      <c r="DJ81" s="305"/>
      <c r="DK81" s="486"/>
      <c r="DL81" s="486"/>
      <c r="DM81" s="583"/>
      <c r="DN81" s="582"/>
      <c r="DO81" s="582"/>
      <c r="DP81" s="582"/>
      <c r="DQ81" s="486"/>
      <c r="DR81" s="305"/>
      <c r="DS81" s="486"/>
      <c r="DT81" s="486"/>
      <c r="DU81" s="583"/>
      <c r="DV81" s="582"/>
      <c r="DW81" s="582"/>
      <c r="DX81" s="582"/>
      <c r="DY81" s="486"/>
      <c r="DZ81" s="305"/>
      <c r="EA81" s="486"/>
      <c r="EB81" s="486"/>
      <c r="EC81" s="583"/>
      <c r="ED81" s="582"/>
      <c r="EE81" s="582"/>
      <c r="EF81" s="582"/>
      <c r="EG81" s="486"/>
      <c r="EH81" s="305"/>
      <c r="EI81" s="486"/>
      <c r="EJ81" s="486"/>
      <c r="EK81" s="583"/>
      <c r="EL81" s="582"/>
      <c r="EM81" s="582"/>
      <c r="EN81" s="582"/>
      <c r="EO81" s="486"/>
      <c r="EP81" s="305"/>
      <c r="EQ81" s="486"/>
      <c r="ER81" s="486"/>
      <c r="ES81" s="583"/>
      <c r="ET81" s="582"/>
      <c r="EU81" s="582"/>
      <c r="EV81" s="582"/>
      <c r="EW81" s="486"/>
      <c r="EX81" s="305"/>
      <c r="EY81" s="486"/>
      <c r="EZ81" s="486"/>
      <c r="FA81" s="583"/>
      <c r="FB81" s="582"/>
      <c r="FC81" s="582"/>
      <c r="FD81" s="582"/>
      <c r="FE81" s="486"/>
      <c r="FF81" s="305"/>
      <c r="FG81" s="486"/>
      <c r="FH81" s="486"/>
      <c r="FI81" s="583"/>
      <c r="FJ81" s="582"/>
      <c r="FK81" s="582"/>
      <c r="FL81" s="582"/>
      <c r="FM81" s="486"/>
      <c r="FN81" s="305"/>
      <c r="FO81" s="486"/>
      <c r="FP81" s="486"/>
      <c r="FQ81" s="583"/>
      <c r="FR81" s="582"/>
      <c r="FS81" s="582"/>
      <c r="FT81" s="582"/>
      <c r="FU81" s="486"/>
      <c r="FV81" s="305"/>
      <c r="FW81" s="486"/>
      <c r="FX81" s="486"/>
      <c r="FY81" s="583"/>
      <c r="FZ81" s="582"/>
      <c r="GA81" s="582"/>
      <c r="GB81" s="582"/>
      <c r="GC81" s="486"/>
      <c r="GD81" s="305"/>
      <c r="GE81" s="486"/>
      <c r="GF81" s="486"/>
      <c r="GG81" s="583"/>
      <c r="GH81" s="582"/>
      <c r="GI81" s="582"/>
      <c r="GJ81" s="582"/>
      <c r="GK81" s="486"/>
      <c r="GL81" s="305"/>
      <c r="GM81" s="486"/>
      <c r="GN81" s="486"/>
      <c r="GO81" s="583"/>
      <c r="GP81" s="582"/>
      <c r="GQ81" s="582"/>
      <c r="GR81" s="582"/>
      <c r="GS81" s="486"/>
      <c r="GT81" s="305"/>
      <c r="GU81" s="486"/>
      <c r="GV81" s="486"/>
      <c r="GW81" s="583"/>
      <c r="GX81" s="582"/>
      <c r="GY81" s="582"/>
      <c r="GZ81" s="582"/>
      <c r="HA81" s="486"/>
      <c r="HB81" s="305"/>
      <c r="HC81" s="486"/>
      <c r="HD81" s="486"/>
      <c r="HE81" s="583"/>
      <c r="HF81" s="582"/>
      <c r="HG81" s="582"/>
      <c r="HH81" s="582"/>
      <c r="HI81" s="486"/>
      <c r="HJ81" s="305"/>
      <c r="HK81" s="486"/>
      <c r="HL81" s="486"/>
      <c r="HM81" s="583"/>
      <c r="HN81" s="582"/>
      <c r="HO81" s="582"/>
      <c r="HP81" s="582"/>
      <c r="HQ81" s="486"/>
      <c r="HR81" s="305"/>
      <c r="HS81" s="486"/>
      <c r="HT81" s="486"/>
      <c r="HU81" s="583"/>
      <c r="HV81" s="582"/>
      <c r="HW81" s="582"/>
      <c r="HX81" s="582"/>
      <c r="HY81" s="486"/>
      <c r="HZ81" s="305"/>
      <c r="IA81" s="486"/>
      <c r="IB81" s="486"/>
      <c r="IC81" s="583"/>
      <c r="ID81" s="582"/>
      <c r="IE81" s="582"/>
      <c r="IF81" s="582"/>
      <c r="IG81" s="486"/>
      <c r="IH81" s="305"/>
      <c r="II81" s="486"/>
      <c r="IJ81" s="486"/>
      <c r="IK81" s="583"/>
      <c r="IL81" s="582"/>
      <c r="IM81" s="582"/>
      <c r="IN81" s="582"/>
      <c r="IO81" s="486"/>
      <c r="IP81" s="305"/>
    </row>
    <row r="82" spans="1:250" s="244" customFormat="1" ht="14.1" customHeight="1">
      <c r="A82" s="205"/>
      <c r="B82" s="579"/>
      <c r="C82" s="580"/>
      <c r="D82" s="581"/>
      <c r="E82" s="581"/>
      <c r="F82" s="581"/>
      <c r="G82" s="579"/>
      <c r="H82" s="577"/>
      <c r="I82" s="245"/>
      <c r="J82" s="305"/>
      <c r="K82" s="486"/>
      <c r="L82" s="486"/>
      <c r="M82" s="583"/>
      <c r="N82" s="582"/>
      <c r="O82" s="582"/>
      <c r="P82" s="582"/>
      <c r="Q82" s="486"/>
      <c r="R82" s="305"/>
      <c r="S82" s="486"/>
      <c r="T82" s="486"/>
      <c r="U82" s="583"/>
      <c r="V82" s="582"/>
      <c r="W82" s="582"/>
      <c r="X82" s="582"/>
      <c r="Y82" s="486"/>
      <c r="Z82" s="305"/>
      <c r="AA82" s="486"/>
      <c r="AB82" s="486"/>
      <c r="AC82" s="583"/>
      <c r="AD82" s="582"/>
      <c r="AE82" s="582"/>
      <c r="AF82" s="582"/>
      <c r="AG82" s="486"/>
      <c r="AH82" s="305"/>
      <c r="AI82" s="486"/>
      <c r="AJ82" s="486"/>
      <c r="AK82" s="583"/>
      <c r="AL82" s="582"/>
      <c r="AM82" s="582"/>
      <c r="AN82" s="582"/>
      <c r="AO82" s="486"/>
      <c r="AP82" s="305"/>
      <c r="AQ82" s="486"/>
      <c r="AR82" s="486"/>
      <c r="AS82" s="583"/>
      <c r="AT82" s="582"/>
      <c r="AU82" s="582"/>
      <c r="AV82" s="582"/>
      <c r="AW82" s="486"/>
      <c r="AX82" s="305"/>
      <c r="AY82" s="486"/>
      <c r="AZ82" s="486"/>
      <c r="BA82" s="583"/>
      <c r="BB82" s="582"/>
      <c r="BC82" s="582"/>
      <c r="BD82" s="582"/>
      <c r="BE82" s="486"/>
      <c r="BF82" s="305"/>
      <c r="BG82" s="486"/>
      <c r="BH82" s="486"/>
      <c r="BI82" s="583"/>
      <c r="BJ82" s="582"/>
      <c r="BK82" s="582"/>
      <c r="BL82" s="582"/>
      <c r="BM82" s="486"/>
      <c r="BN82" s="305"/>
      <c r="BO82" s="486"/>
      <c r="BP82" s="486"/>
      <c r="BQ82" s="583"/>
      <c r="BR82" s="582"/>
      <c r="BS82" s="582"/>
      <c r="BT82" s="582"/>
      <c r="BU82" s="486"/>
      <c r="BV82" s="305"/>
      <c r="BW82" s="486"/>
      <c r="BX82" s="486"/>
      <c r="BY82" s="583"/>
      <c r="BZ82" s="582"/>
      <c r="CA82" s="582"/>
      <c r="CB82" s="582"/>
      <c r="CC82" s="486"/>
      <c r="CD82" s="305"/>
      <c r="CE82" s="486"/>
      <c r="CF82" s="486"/>
      <c r="CG82" s="583"/>
      <c r="CH82" s="582"/>
      <c r="CI82" s="582"/>
      <c r="CJ82" s="582"/>
      <c r="CK82" s="486"/>
      <c r="CL82" s="305"/>
      <c r="CM82" s="486"/>
      <c r="CN82" s="486"/>
      <c r="CO82" s="583"/>
      <c r="CP82" s="582"/>
      <c r="CQ82" s="582"/>
      <c r="CR82" s="582"/>
      <c r="CS82" s="486"/>
      <c r="CT82" s="305"/>
      <c r="CU82" s="486"/>
      <c r="CV82" s="486"/>
      <c r="CW82" s="583"/>
      <c r="CX82" s="582"/>
      <c r="CY82" s="582"/>
      <c r="CZ82" s="582"/>
      <c r="DA82" s="486"/>
      <c r="DB82" s="305"/>
      <c r="DC82" s="486"/>
      <c r="DD82" s="486"/>
      <c r="DE82" s="583"/>
      <c r="DF82" s="582"/>
      <c r="DG82" s="582"/>
      <c r="DH82" s="582"/>
      <c r="DI82" s="486"/>
      <c r="DJ82" s="305"/>
      <c r="DK82" s="486"/>
      <c r="DL82" s="486"/>
      <c r="DM82" s="583"/>
      <c r="DN82" s="582"/>
      <c r="DO82" s="582"/>
      <c r="DP82" s="582"/>
      <c r="DQ82" s="486"/>
      <c r="DR82" s="305"/>
      <c r="DS82" s="486"/>
      <c r="DT82" s="486"/>
      <c r="DU82" s="583"/>
      <c r="DV82" s="582"/>
      <c r="DW82" s="582"/>
      <c r="DX82" s="582"/>
      <c r="DY82" s="486"/>
      <c r="DZ82" s="305"/>
      <c r="EA82" s="486"/>
      <c r="EB82" s="486"/>
      <c r="EC82" s="583"/>
      <c r="ED82" s="582"/>
      <c r="EE82" s="582"/>
      <c r="EF82" s="582"/>
      <c r="EG82" s="486"/>
      <c r="EH82" s="305"/>
      <c r="EI82" s="486"/>
      <c r="EJ82" s="486"/>
      <c r="EK82" s="583"/>
      <c r="EL82" s="582"/>
      <c r="EM82" s="582"/>
      <c r="EN82" s="582"/>
      <c r="EO82" s="486"/>
      <c r="EP82" s="305"/>
      <c r="EQ82" s="486"/>
      <c r="ER82" s="486"/>
      <c r="ES82" s="583"/>
      <c r="ET82" s="582"/>
      <c r="EU82" s="582"/>
      <c r="EV82" s="582"/>
      <c r="EW82" s="486"/>
      <c r="EX82" s="305"/>
      <c r="EY82" s="486"/>
      <c r="EZ82" s="486"/>
      <c r="FA82" s="583"/>
      <c r="FB82" s="582"/>
      <c r="FC82" s="582"/>
      <c r="FD82" s="582"/>
      <c r="FE82" s="486"/>
      <c r="FF82" s="305"/>
      <c r="FG82" s="486"/>
      <c r="FH82" s="486"/>
      <c r="FI82" s="583"/>
      <c r="FJ82" s="582"/>
      <c r="FK82" s="582"/>
      <c r="FL82" s="582"/>
      <c r="FM82" s="486"/>
      <c r="FN82" s="305"/>
      <c r="FO82" s="486"/>
      <c r="FP82" s="486"/>
      <c r="FQ82" s="583"/>
      <c r="FR82" s="582"/>
      <c r="FS82" s="582"/>
      <c r="FT82" s="582"/>
      <c r="FU82" s="486"/>
      <c r="FV82" s="305"/>
      <c r="FW82" s="486"/>
      <c r="FX82" s="486"/>
      <c r="FY82" s="583"/>
      <c r="FZ82" s="582"/>
      <c r="GA82" s="582"/>
      <c r="GB82" s="582"/>
      <c r="GC82" s="486"/>
      <c r="GD82" s="305"/>
      <c r="GE82" s="486"/>
      <c r="GF82" s="486"/>
      <c r="GG82" s="583"/>
      <c r="GH82" s="582"/>
      <c r="GI82" s="582"/>
      <c r="GJ82" s="582"/>
      <c r="GK82" s="486"/>
      <c r="GL82" s="305"/>
      <c r="GM82" s="486"/>
      <c r="GN82" s="486"/>
      <c r="GO82" s="583"/>
      <c r="GP82" s="582"/>
      <c r="GQ82" s="582"/>
      <c r="GR82" s="582"/>
      <c r="GS82" s="486"/>
      <c r="GT82" s="305"/>
      <c r="GU82" s="486"/>
      <c r="GV82" s="486"/>
      <c r="GW82" s="583"/>
      <c r="GX82" s="582"/>
      <c r="GY82" s="582"/>
      <c r="GZ82" s="582"/>
      <c r="HA82" s="486"/>
      <c r="HB82" s="305"/>
      <c r="HC82" s="486"/>
      <c r="HD82" s="486"/>
      <c r="HE82" s="583"/>
      <c r="HF82" s="582"/>
      <c r="HG82" s="582"/>
      <c r="HH82" s="582"/>
      <c r="HI82" s="486"/>
      <c r="HJ82" s="305"/>
      <c r="HK82" s="486"/>
      <c r="HL82" s="486"/>
      <c r="HM82" s="583"/>
      <c r="HN82" s="582"/>
      <c r="HO82" s="582"/>
      <c r="HP82" s="582"/>
      <c r="HQ82" s="486"/>
      <c r="HR82" s="305"/>
      <c r="HS82" s="486"/>
      <c r="HT82" s="486"/>
      <c r="HU82" s="583"/>
      <c r="HV82" s="582"/>
      <c r="HW82" s="582"/>
      <c r="HX82" s="582"/>
      <c r="HY82" s="486"/>
      <c r="HZ82" s="305"/>
      <c r="IA82" s="486"/>
      <c r="IB82" s="486"/>
      <c r="IC82" s="583"/>
      <c r="ID82" s="582"/>
      <c r="IE82" s="582"/>
      <c r="IF82" s="582"/>
      <c r="IG82" s="486"/>
      <c r="IH82" s="305"/>
      <c r="II82" s="486"/>
      <c r="IJ82" s="486"/>
      <c r="IK82" s="583"/>
      <c r="IL82" s="582"/>
      <c r="IM82" s="582"/>
      <c r="IN82" s="582"/>
      <c r="IO82" s="486"/>
      <c r="IP82" s="305"/>
    </row>
    <row r="83" spans="1:250" s="244" customFormat="1" ht="14.1" customHeight="1">
      <c r="A83" s="543"/>
      <c r="B83" s="544">
        <v>500</v>
      </c>
      <c r="C83" s="545" t="s">
        <v>17</v>
      </c>
      <c r="D83" s="545" t="s">
        <v>176</v>
      </c>
      <c r="E83" s="545" t="s">
        <v>18</v>
      </c>
      <c r="F83" s="545" t="s">
        <v>19</v>
      </c>
      <c r="G83" s="545" t="s">
        <v>190</v>
      </c>
      <c r="H83" s="544"/>
      <c r="I83" s="584"/>
      <c r="J83" s="585"/>
      <c r="K83" s="586"/>
      <c r="L83" s="585"/>
      <c r="M83" s="222"/>
      <c r="N83" s="222"/>
      <c r="O83" s="222"/>
      <c r="P83" s="222"/>
      <c r="Q83" s="222"/>
      <c r="R83" s="585"/>
      <c r="S83" s="586"/>
      <c r="T83" s="585"/>
      <c r="U83" s="222"/>
      <c r="V83" s="222"/>
      <c r="W83" s="222"/>
      <c r="X83" s="222"/>
      <c r="Y83" s="222"/>
      <c r="Z83" s="585"/>
      <c r="AA83" s="586"/>
      <c r="AB83" s="585"/>
      <c r="AC83" s="222"/>
      <c r="AD83" s="222"/>
      <c r="AE83" s="222"/>
      <c r="AF83" s="222"/>
      <c r="AG83" s="222"/>
      <c r="AH83" s="585"/>
      <c r="AI83" s="586"/>
      <c r="AJ83" s="585"/>
      <c r="AK83" s="222"/>
      <c r="AL83" s="222"/>
      <c r="AM83" s="222"/>
      <c r="AN83" s="222"/>
      <c r="AO83" s="222"/>
      <c r="AP83" s="585"/>
      <c r="AQ83" s="586"/>
      <c r="AR83" s="585"/>
      <c r="AS83" s="222"/>
      <c r="AT83" s="222"/>
      <c r="AU83" s="222"/>
      <c r="AV83" s="222"/>
      <c r="AW83" s="222"/>
      <c r="AX83" s="585"/>
      <c r="AY83" s="586"/>
      <c r="AZ83" s="585"/>
      <c r="BA83" s="222"/>
      <c r="BB83" s="222"/>
      <c r="BC83" s="222"/>
      <c r="BD83" s="222"/>
      <c r="BE83" s="222"/>
      <c r="BF83" s="585"/>
      <c r="BG83" s="586"/>
      <c r="BH83" s="585"/>
      <c r="BI83" s="222"/>
      <c r="BJ83" s="222"/>
      <c r="BK83" s="222"/>
      <c r="BL83" s="222"/>
      <c r="BM83" s="222"/>
      <c r="BN83" s="585"/>
      <c r="BO83" s="586"/>
      <c r="BP83" s="585"/>
      <c r="BQ83" s="222"/>
      <c r="BR83" s="222"/>
      <c r="BS83" s="222"/>
      <c r="BT83" s="222"/>
      <c r="BU83" s="222"/>
      <c r="BV83" s="585"/>
      <c r="BW83" s="586"/>
      <c r="BX83" s="585"/>
      <c r="BY83" s="222"/>
      <c r="BZ83" s="222"/>
      <c r="CA83" s="222"/>
      <c r="CB83" s="222"/>
      <c r="CC83" s="222"/>
      <c r="CD83" s="585"/>
      <c r="CE83" s="586"/>
      <c r="CF83" s="585"/>
      <c r="CG83" s="222"/>
      <c r="CH83" s="222"/>
      <c r="CI83" s="222"/>
      <c r="CJ83" s="222"/>
      <c r="CK83" s="222"/>
      <c r="CL83" s="585"/>
      <c r="CM83" s="586"/>
      <c r="CN83" s="585"/>
      <c r="CO83" s="222"/>
      <c r="CP83" s="222"/>
      <c r="CQ83" s="222"/>
      <c r="CR83" s="222"/>
      <c r="CS83" s="222"/>
      <c r="CT83" s="585"/>
      <c r="CU83" s="586"/>
      <c r="CV83" s="585"/>
      <c r="CW83" s="222"/>
      <c r="CX83" s="222"/>
      <c r="CY83" s="222"/>
      <c r="CZ83" s="222"/>
      <c r="DA83" s="222"/>
      <c r="DB83" s="585"/>
      <c r="DC83" s="586"/>
      <c r="DD83" s="585"/>
      <c r="DE83" s="222"/>
      <c r="DF83" s="222"/>
      <c r="DG83" s="222"/>
      <c r="DH83" s="222"/>
      <c r="DI83" s="222"/>
      <c r="DJ83" s="585"/>
      <c r="DK83" s="586"/>
      <c r="DL83" s="585"/>
      <c r="DM83" s="222"/>
      <c r="DN83" s="222"/>
      <c r="DO83" s="222"/>
      <c r="DP83" s="222"/>
      <c r="DQ83" s="222"/>
      <c r="DR83" s="585"/>
      <c r="DS83" s="586"/>
      <c r="DT83" s="585"/>
      <c r="DU83" s="222"/>
      <c r="DV83" s="222"/>
      <c r="DW83" s="222"/>
      <c r="DX83" s="222"/>
      <c r="DY83" s="222"/>
      <c r="DZ83" s="585"/>
      <c r="EA83" s="586"/>
      <c r="EB83" s="585"/>
      <c r="EC83" s="222"/>
      <c r="ED83" s="222"/>
      <c r="EE83" s="222"/>
      <c r="EF83" s="222"/>
      <c r="EG83" s="222"/>
      <c r="EH83" s="585"/>
      <c r="EI83" s="586"/>
      <c r="EJ83" s="585"/>
      <c r="EK83" s="222"/>
      <c r="EL83" s="222"/>
      <c r="EM83" s="222"/>
      <c r="EN83" s="222"/>
      <c r="EO83" s="222"/>
      <c r="EP83" s="585"/>
      <c r="EQ83" s="586"/>
      <c r="ER83" s="585"/>
      <c r="ES83" s="222"/>
      <c r="ET83" s="222"/>
      <c r="EU83" s="222"/>
      <c r="EV83" s="222"/>
      <c r="EW83" s="222"/>
      <c r="EX83" s="585"/>
      <c r="EY83" s="586"/>
      <c r="EZ83" s="585"/>
      <c r="FA83" s="222"/>
      <c r="FB83" s="222"/>
      <c r="FC83" s="222"/>
      <c r="FD83" s="222"/>
      <c r="FE83" s="222"/>
      <c r="FF83" s="585"/>
      <c r="FG83" s="586"/>
      <c r="FH83" s="585"/>
      <c r="FI83" s="222"/>
      <c r="FJ83" s="222"/>
      <c r="FK83" s="222"/>
      <c r="FL83" s="222"/>
      <c r="FM83" s="222"/>
      <c r="FN83" s="585"/>
      <c r="FO83" s="586"/>
      <c r="FP83" s="585"/>
      <c r="FQ83" s="222"/>
      <c r="FR83" s="222"/>
      <c r="FS83" s="222"/>
      <c r="FT83" s="222"/>
      <c r="FU83" s="222"/>
      <c r="FV83" s="585"/>
      <c r="FW83" s="586"/>
      <c r="FX83" s="585"/>
      <c r="FY83" s="222"/>
      <c r="FZ83" s="222"/>
      <c r="GA83" s="222"/>
      <c r="GB83" s="222"/>
      <c r="GC83" s="222"/>
      <c r="GD83" s="585"/>
      <c r="GE83" s="586"/>
      <c r="GF83" s="585"/>
      <c r="GG83" s="222"/>
      <c r="GH83" s="222"/>
      <c r="GI83" s="222"/>
      <c r="GJ83" s="222"/>
      <c r="GK83" s="222"/>
      <c r="GL83" s="585"/>
      <c r="GM83" s="586"/>
      <c r="GN83" s="585"/>
      <c r="GO83" s="222"/>
      <c r="GP83" s="222"/>
      <c r="GQ83" s="222"/>
      <c r="GR83" s="222"/>
      <c r="GS83" s="222"/>
      <c r="GT83" s="585"/>
      <c r="GU83" s="586"/>
      <c r="GV83" s="585"/>
      <c r="GW83" s="222"/>
      <c r="GX83" s="222"/>
      <c r="GY83" s="222"/>
      <c r="GZ83" s="222"/>
      <c r="HA83" s="222"/>
      <c r="HB83" s="585"/>
      <c r="HC83" s="586"/>
      <c r="HD83" s="585"/>
      <c r="HE83" s="222"/>
      <c r="HF83" s="222"/>
      <c r="HG83" s="222"/>
      <c r="HH83" s="222"/>
      <c r="HI83" s="222"/>
      <c r="HJ83" s="585"/>
      <c r="HK83" s="586"/>
      <c r="HL83" s="585"/>
      <c r="HM83" s="222"/>
      <c r="HN83" s="222"/>
      <c r="HO83" s="222"/>
      <c r="HP83" s="222"/>
      <c r="HQ83" s="222"/>
      <c r="HR83" s="585"/>
      <c r="HS83" s="586"/>
      <c r="HT83" s="585"/>
      <c r="HU83" s="222"/>
      <c r="HV83" s="222"/>
      <c r="HW83" s="222"/>
      <c r="HX83" s="222"/>
      <c r="HY83" s="222"/>
      <c r="HZ83" s="585"/>
      <c r="IA83" s="586"/>
      <c r="IB83" s="585"/>
      <c r="IC83" s="222"/>
      <c r="ID83" s="222"/>
      <c r="IE83" s="222"/>
      <c r="IF83" s="222"/>
      <c r="IG83" s="222"/>
      <c r="IH83" s="585"/>
      <c r="II83" s="586"/>
      <c r="IJ83" s="585"/>
      <c r="IK83" s="222"/>
      <c r="IL83" s="222"/>
      <c r="IM83" s="222"/>
      <c r="IN83" s="222"/>
      <c r="IO83" s="222"/>
      <c r="IP83" s="585"/>
    </row>
    <row r="84" spans="1:250" s="244" customFormat="1" ht="14.1" customHeight="1">
      <c r="A84" s="220" t="s">
        <v>266</v>
      </c>
      <c r="B84" s="548" t="s">
        <v>22</v>
      </c>
      <c r="C84" s="548" t="s">
        <v>22</v>
      </c>
      <c r="D84" s="548" t="s">
        <v>22</v>
      </c>
      <c r="E84" s="548" t="s">
        <v>22</v>
      </c>
      <c r="F84" s="548" t="s">
        <v>22</v>
      </c>
      <c r="G84" s="548" t="s">
        <v>22</v>
      </c>
      <c r="H84" s="548" t="s">
        <v>193</v>
      </c>
      <c r="I84" s="587" t="s">
        <v>177</v>
      </c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222"/>
      <c r="CS84" s="222"/>
      <c r="CT84" s="222"/>
      <c r="CU84" s="222"/>
      <c r="CV84" s="222"/>
      <c r="CW84" s="222"/>
      <c r="CX84" s="222"/>
      <c r="CY84" s="222"/>
      <c r="CZ84" s="222"/>
      <c r="DA84" s="222"/>
      <c r="DB84" s="222"/>
      <c r="DC84" s="222"/>
      <c r="DD84" s="222"/>
      <c r="DE84" s="222"/>
      <c r="DF84" s="222"/>
      <c r="DG84" s="222"/>
      <c r="DH84" s="222"/>
      <c r="DI84" s="222"/>
      <c r="DJ84" s="222"/>
      <c r="DK84" s="222"/>
      <c r="DL84" s="222"/>
      <c r="DM84" s="222"/>
      <c r="DN84" s="222"/>
      <c r="DO84" s="222"/>
      <c r="DP84" s="222"/>
      <c r="DQ84" s="222"/>
      <c r="DR84" s="222"/>
      <c r="DS84" s="222"/>
      <c r="DT84" s="222"/>
      <c r="DU84" s="222"/>
      <c r="DV84" s="222"/>
      <c r="DW84" s="222"/>
      <c r="DX84" s="222"/>
      <c r="DY84" s="222"/>
      <c r="DZ84" s="222"/>
      <c r="EA84" s="222"/>
      <c r="EB84" s="222"/>
      <c r="EC84" s="222"/>
      <c r="ED84" s="222"/>
      <c r="EE84" s="222"/>
      <c r="EF84" s="222"/>
      <c r="EG84" s="222"/>
      <c r="EH84" s="222"/>
      <c r="EI84" s="222"/>
      <c r="EJ84" s="222"/>
      <c r="EK84" s="222"/>
      <c r="EL84" s="222"/>
      <c r="EM84" s="222"/>
      <c r="EN84" s="222"/>
      <c r="EO84" s="222"/>
      <c r="EP84" s="222"/>
      <c r="EQ84" s="222"/>
      <c r="ER84" s="222"/>
      <c r="ES84" s="222"/>
      <c r="ET84" s="222"/>
      <c r="EU84" s="222"/>
      <c r="EV84" s="222"/>
      <c r="EW84" s="222"/>
      <c r="EX84" s="222"/>
      <c r="EY84" s="222"/>
      <c r="EZ84" s="222"/>
      <c r="FA84" s="222"/>
      <c r="FB84" s="222"/>
      <c r="FC84" s="222"/>
      <c r="FD84" s="222"/>
      <c r="FE84" s="222"/>
      <c r="FF84" s="222"/>
      <c r="FG84" s="222"/>
      <c r="FH84" s="222"/>
      <c r="FI84" s="222"/>
      <c r="FJ84" s="222"/>
      <c r="FK84" s="222"/>
      <c r="FL84" s="222"/>
      <c r="FM84" s="222"/>
      <c r="FN84" s="222"/>
      <c r="FO84" s="222"/>
      <c r="FP84" s="222"/>
      <c r="FQ84" s="222"/>
      <c r="FR84" s="222"/>
      <c r="FS84" s="222"/>
      <c r="FT84" s="222"/>
      <c r="FU84" s="222"/>
      <c r="FV84" s="222"/>
      <c r="FW84" s="222"/>
      <c r="FX84" s="222"/>
      <c r="FY84" s="222"/>
      <c r="FZ84" s="222"/>
      <c r="GA84" s="222"/>
      <c r="GB84" s="222"/>
      <c r="GC84" s="222"/>
      <c r="GD84" s="222"/>
      <c r="GE84" s="222"/>
      <c r="GF84" s="222"/>
      <c r="GG84" s="222"/>
      <c r="GH84" s="222"/>
      <c r="GI84" s="222"/>
      <c r="GJ84" s="222"/>
      <c r="GK84" s="222"/>
      <c r="GL84" s="222"/>
      <c r="GM84" s="222"/>
      <c r="GN84" s="222"/>
      <c r="GO84" s="222"/>
      <c r="GP84" s="222"/>
      <c r="GQ84" s="222"/>
      <c r="GR84" s="222"/>
      <c r="GS84" s="222"/>
      <c r="GT84" s="222"/>
      <c r="GU84" s="222"/>
      <c r="GV84" s="222"/>
      <c r="GW84" s="222"/>
      <c r="GX84" s="222"/>
      <c r="GY84" s="222"/>
      <c r="GZ84" s="222"/>
      <c r="HA84" s="222"/>
      <c r="HB84" s="222"/>
      <c r="HC84" s="222"/>
      <c r="HD84" s="222"/>
      <c r="HE84" s="222"/>
      <c r="HF84" s="222"/>
      <c r="HG84" s="222"/>
      <c r="HH84" s="222"/>
      <c r="HI84" s="222"/>
      <c r="HJ84" s="222"/>
      <c r="HK84" s="222"/>
      <c r="HL84" s="222"/>
      <c r="HM84" s="222"/>
      <c r="HN84" s="222"/>
      <c r="HO84" s="222"/>
      <c r="HP84" s="222"/>
      <c r="HQ84" s="222"/>
      <c r="HR84" s="222"/>
      <c r="HS84" s="222"/>
      <c r="HT84" s="222"/>
      <c r="HU84" s="222"/>
      <c r="HV84" s="222"/>
      <c r="HW84" s="222"/>
      <c r="HX84" s="222"/>
      <c r="HY84" s="222"/>
      <c r="HZ84" s="222"/>
      <c r="IA84" s="222"/>
      <c r="IB84" s="222"/>
      <c r="IC84" s="222"/>
      <c r="ID84" s="222"/>
      <c r="IE84" s="222"/>
      <c r="IF84" s="222"/>
      <c r="IG84" s="222"/>
      <c r="IH84" s="222"/>
      <c r="II84" s="222"/>
      <c r="IJ84" s="222"/>
      <c r="IK84" s="222"/>
      <c r="IL84" s="222"/>
      <c r="IM84" s="222"/>
      <c r="IN84" s="222"/>
      <c r="IO84" s="222"/>
      <c r="IP84" s="222"/>
    </row>
    <row r="85" spans="1:250" s="244" customFormat="1" ht="14.1" customHeight="1">
      <c r="A85" s="550"/>
      <c r="B85" s="551" t="s">
        <v>26</v>
      </c>
      <c r="C85" s="551" t="s">
        <v>176</v>
      </c>
      <c r="D85" s="551" t="s">
        <v>18</v>
      </c>
      <c r="E85" s="551" t="s">
        <v>19</v>
      </c>
      <c r="F85" s="551" t="s">
        <v>23</v>
      </c>
      <c r="G85" s="551" t="s">
        <v>195</v>
      </c>
      <c r="H85" s="551" t="s">
        <v>29</v>
      </c>
      <c r="I85" s="588"/>
      <c r="J85" s="222"/>
      <c r="K85" s="589"/>
      <c r="L85" s="222"/>
      <c r="M85" s="222"/>
      <c r="N85" s="222"/>
      <c r="O85" s="222"/>
      <c r="P85" s="222"/>
      <c r="Q85" s="222"/>
      <c r="R85" s="222"/>
      <c r="S85" s="589"/>
      <c r="T85" s="222"/>
      <c r="U85" s="222"/>
      <c r="V85" s="222"/>
      <c r="W85" s="222"/>
      <c r="X85" s="222"/>
      <c r="Y85" s="222"/>
      <c r="Z85" s="222"/>
      <c r="AA85" s="589"/>
      <c r="AB85" s="222"/>
      <c r="AC85" s="222"/>
      <c r="AD85" s="222"/>
      <c r="AE85" s="222"/>
      <c r="AF85" s="222"/>
      <c r="AG85" s="222"/>
      <c r="AH85" s="222"/>
      <c r="AI85" s="589"/>
      <c r="AJ85" s="222"/>
      <c r="AK85" s="222"/>
      <c r="AL85" s="222"/>
      <c r="AM85" s="222"/>
      <c r="AN85" s="222"/>
      <c r="AO85" s="222"/>
      <c r="AP85" s="222"/>
      <c r="AQ85" s="589"/>
      <c r="AR85" s="222"/>
      <c r="AS85" s="222"/>
      <c r="AT85" s="222"/>
      <c r="AU85" s="222"/>
      <c r="AV85" s="222"/>
      <c r="AW85" s="222"/>
      <c r="AX85" s="222"/>
      <c r="AY85" s="589"/>
      <c r="AZ85" s="222"/>
      <c r="BA85" s="222"/>
      <c r="BB85" s="222"/>
      <c r="BC85" s="222"/>
      <c r="BD85" s="222"/>
      <c r="BE85" s="222"/>
      <c r="BF85" s="222"/>
      <c r="BG85" s="589"/>
      <c r="BH85" s="222"/>
      <c r="BI85" s="222"/>
      <c r="BJ85" s="222"/>
      <c r="BK85" s="222"/>
      <c r="BL85" s="222"/>
      <c r="BM85" s="222"/>
      <c r="BN85" s="222"/>
      <c r="BO85" s="589"/>
      <c r="BP85" s="222"/>
      <c r="BQ85" s="222"/>
      <c r="BR85" s="222"/>
      <c r="BS85" s="222"/>
      <c r="BT85" s="222"/>
      <c r="BU85" s="222"/>
      <c r="BV85" s="222"/>
      <c r="BW85" s="589"/>
      <c r="BX85" s="222"/>
      <c r="BY85" s="222"/>
      <c r="BZ85" s="222"/>
      <c r="CA85" s="222"/>
      <c r="CB85" s="222"/>
      <c r="CC85" s="222"/>
      <c r="CD85" s="222"/>
      <c r="CE85" s="589"/>
      <c r="CF85" s="222"/>
      <c r="CG85" s="222"/>
      <c r="CH85" s="222"/>
      <c r="CI85" s="222"/>
      <c r="CJ85" s="222"/>
      <c r="CK85" s="222"/>
      <c r="CL85" s="222"/>
      <c r="CM85" s="589"/>
      <c r="CN85" s="222"/>
      <c r="CO85" s="222"/>
      <c r="CP85" s="222"/>
      <c r="CQ85" s="222"/>
      <c r="CR85" s="222"/>
      <c r="CS85" s="222"/>
      <c r="CT85" s="222"/>
      <c r="CU85" s="589"/>
      <c r="CV85" s="222"/>
      <c r="CW85" s="222"/>
      <c r="CX85" s="222"/>
      <c r="CY85" s="222"/>
      <c r="CZ85" s="222"/>
      <c r="DA85" s="222"/>
      <c r="DB85" s="222"/>
      <c r="DC85" s="589"/>
      <c r="DD85" s="222"/>
      <c r="DE85" s="222"/>
      <c r="DF85" s="222"/>
      <c r="DG85" s="222"/>
      <c r="DH85" s="222"/>
      <c r="DI85" s="222"/>
      <c r="DJ85" s="222"/>
      <c r="DK85" s="589"/>
      <c r="DL85" s="222"/>
      <c r="DM85" s="222"/>
      <c r="DN85" s="222"/>
      <c r="DO85" s="222"/>
      <c r="DP85" s="222"/>
      <c r="DQ85" s="222"/>
      <c r="DR85" s="222"/>
      <c r="DS85" s="589"/>
      <c r="DT85" s="222"/>
      <c r="DU85" s="222"/>
      <c r="DV85" s="222"/>
      <c r="DW85" s="222"/>
      <c r="DX85" s="222"/>
      <c r="DY85" s="222"/>
      <c r="DZ85" s="222"/>
      <c r="EA85" s="589"/>
      <c r="EB85" s="222"/>
      <c r="EC85" s="222"/>
      <c r="ED85" s="222"/>
      <c r="EE85" s="222"/>
      <c r="EF85" s="222"/>
      <c r="EG85" s="222"/>
      <c r="EH85" s="222"/>
      <c r="EI85" s="589"/>
      <c r="EJ85" s="222"/>
      <c r="EK85" s="222"/>
      <c r="EL85" s="222"/>
      <c r="EM85" s="222"/>
      <c r="EN85" s="222"/>
      <c r="EO85" s="222"/>
      <c r="EP85" s="222"/>
      <c r="EQ85" s="589"/>
      <c r="ER85" s="222"/>
      <c r="ES85" s="222"/>
      <c r="ET85" s="222"/>
      <c r="EU85" s="222"/>
      <c r="EV85" s="222"/>
      <c r="EW85" s="222"/>
      <c r="EX85" s="222"/>
      <c r="EY85" s="589"/>
      <c r="EZ85" s="222"/>
      <c r="FA85" s="222"/>
      <c r="FB85" s="222"/>
      <c r="FC85" s="222"/>
      <c r="FD85" s="222"/>
      <c r="FE85" s="222"/>
      <c r="FF85" s="222"/>
      <c r="FG85" s="589"/>
      <c r="FH85" s="222"/>
      <c r="FI85" s="222"/>
      <c r="FJ85" s="222"/>
      <c r="FK85" s="222"/>
      <c r="FL85" s="222"/>
      <c r="FM85" s="222"/>
      <c r="FN85" s="222"/>
      <c r="FO85" s="589"/>
      <c r="FP85" s="222"/>
      <c r="FQ85" s="222"/>
      <c r="FR85" s="222"/>
      <c r="FS85" s="222"/>
      <c r="FT85" s="222"/>
      <c r="FU85" s="222"/>
      <c r="FV85" s="222"/>
      <c r="FW85" s="589"/>
      <c r="FX85" s="222"/>
      <c r="FY85" s="222"/>
      <c r="FZ85" s="222"/>
      <c r="GA85" s="222"/>
      <c r="GB85" s="222"/>
      <c r="GC85" s="222"/>
      <c r="GD85" s="222"/>
      <c r="GE85" s="589"/>
      <c r="GF85" s="222"/>
      <c r="GG85" s="222"/>
      <c r="GH85" s="222"/>
      <c r="GI85" s="222"/>
      <c r="GJ85" s="222"/>
      <c r="GK85" s="222"/>
      <c r="GL85" s="222"/>
      <c r="GM85" s="589"/>
      <c r="GN85" s="222"/>
      <c r="GO85" s="222"/>
      <c r="GP85" s="222"/>
      <c r="GQ85" s="222"/>
      <c r="GR85" s="222"/>
      <c r="GS85" s="222"/>
      <c r="GT85" s="222"/>
      <c r="GU85" s="589"/>
      <c r="GV85" s="222"/>
      <c r="GW85" s="222"/>
      <c r="GX85" s="222"/>
      <c r="GY85" s="222"/>
      <c r="GZ85" s="222"/>
      <c r="HA85" s="222"/>
      <c r="HB85" s="222"/>
      <c r="HC85" s="589"/>
      <c r="HD85" s="222"/>
      <c r="HE85" s="222"/>
      <c r="HF85" s="222"/>
      <c r="HG85" s="222"/>
      <c r="HH85" s="222"/>
      <c r="HI85" s="222"/>
      <c r="HJ85" s="222"/>
      <c r="HK85" s="589"/>
      <c r="HL85" s="222"/>
      <c r="HM85" s="222"/>
      <c r="HN85" s="222"/>
      <c r="HO85" s="222"/>
      <c r="HP85" s="222"/>
      <c r="HQ85" s="222"/>
      <c r="HR85" s="222"/>
      <c r="HS85" s="589"/>
      <c r="HT85" s="222"/>
      <c r="HU85" s="222"/>
      <c r="HV85" s="222"/>
      <c r="HW85" s="222"/>
      <c r="HX85" s="222"/>
      <c r="HY85" s="222"/>
      <c r="HZ85" s="222"/>
      <c r="IA85" s="589"/>
      <c r="IB85" s="222"/>
      <c r="IC85" s="222"/>
      <c r="ID85" s="222"/>
      <c r="IE85" s="222"/>
      <c r="IF85" s="222"/>
      <c r="IG85" s="222"/>
      <c r="IH85" s="222"/>
      <c r="II85" s="589"/>
      <c r="IJ85" s="222"/>
      <c r="IK85" s="222"/>
      <c r="IL85" s="222"/>
      <c r="IM85" s="222"/>
      <c r="IN85" s="222"/>
      <c r="IO85" s="222"/>
      <c r="IP85" s="222"/>
    </row>
    <row r="86" spans="1:250" s="244" customFormat="1">
      <c r="A86" s="590"/>
      <c r="B86" s="591"/>
      <c r="C86" s="591"/>
      <c r="D86" s="591"/>
      <c r="E86" s="592" t="s">
        <v>87</v>
      </c>
      <c r="F86" s="593"/>
      <c r="G86" s="591"/>
      <c r="H86" s="594"/>
      <c r="I86" s="595"/>
      <c r="J86" s="305"/>
      <c r="K86" s="486"/>
      <c r="L86" s="486"/>
      <c r="M86" s="583"/>
      <c r="N86" s="582"/>
      <c r="O86" s="582"/>
      <c r="P86" s="582"/>
      <c r="Q86" s="486"/>
      <c r="R86" s="305"/>
      <c r="S86" s="486"/>
      <c r="T86" s="486"/>
      <c r="U86" s="583"/>
      <c r="V86" s="582"/>
      <c r="W86" s="582"/>
      <c r="X86" s="582"/>
      <c r="Y86" s="486"/>
      <c r="Z86" s="305"/>
      <c r="AA86" s="486"/>
      <c r="AB86" s="486"/>
      <c r="AC86" s="583"/>
      <c r="AD86" s="582"/>
      <c r="AE86" s="582"/>
      <c r="AF86" s="582"/>
      <c r="AG86" s="486"/>
      <c r="AH86" s="305"/>
      <c r="AI86" s="486"/>
      <c r="AJ86" s="486"/>
      <c r="AK86" s="583"/>
      <c r="AL86" s="582"/>
      <c r="AM86" s="582"/>
      <c r="AN86" s="582"/>
      <c r="AO86" s="486"/>
      <c r="AP86" s="305"/>
      <c r="AQ86" s="486"/>
      <c r="AR86" s="486"/>
      <c r="AS86" s="583"/>
      <c r="AT86" s="582"/>
      <c r="AU86" s="582"/>
      <c r="AV86" s="582"/>
      <c r="AW86" s="486"/>
      <c r="AX86" s="305"/>
      <c r="AY86" s="486"/>
      <c r="AZ86" s="486"/>
      <c r="BA86" s="583"/>
      <c r="BB86" s="582"/>
      <c r="BC86" s="582"/>
      <c r="BD86" s="582"/>
      <c r="BE86" s="486"/>
      <c r="BF86" s="305"/>
      <c r="BG86" s="486"/>
      <c r="BH86" s="486"/>
      <c r="BI86" s="583"/>
      <c r="BJ86" s="582"/>
      <c r="BK86" s="582"/>
      <c r="BL86" s="582"/>
      <c r="BM86" s="486"/>
      <c r="BN86" s="305"/>
      <c r="BO86" s="486"/>
      <c r="BP86" s="486"/>
      <c r="BQ86" s="583"/>
      <c r="BR86" s="582"/>
      <c r="BS86" s="582"/>
      <c r="BT86" s="582"/>
      <c r="BU86" s="486"/>
      <c r="BV86" s="305"/>
      <c r="BW86" s="486"/>
      <c r="BX86" s="486"/>
      <c r="BY86" s="583"/>
      <c r="BZ86" s="582"/>
      <c r="CA86" s="582"/>
      <c r="CB86" s="582"/>
      <c r="CC86" s="486"/>
      <c r="CD86" s="305"/>
      <c r="CE86" s="486"/>
      <c r="CF86" s="486"/>
      <c r="CG86" s="583"/>
      <c r="CH86" s="582"/>
      <c r="CI86" s="582"/>
      <c r="CJ86" s="582"/>
      <c r="CK86" s="486"/>
      <c r="CL86" s="305"/>
      <c r="CM86" s="486"/>
      <c r="CN86" s="486"/>
      <c r="CO86" s="583"/>
      <c r="CP86" s="582"/>
      <c r="CQ86" s="582"/>
      <c r="CR86" s="582"/>
      <c r="CS86" s="486"/>
      <c r="CT86" s="305"/>
      <c r="CU86" s="486"/>
      <c r="CV86" s="486"/>
      <c r="CW86" s="583"/>
      <c r="CX86" s="582"/>
      <c r="CY86" s="582"/>
      <c r="CZ86" s="582"/>
      <c r="DA86" s="486"/>
      <c r="DB86" s="305"/>
      <c r="DC86" s="486"/>
      <c r="DD86" s="486"/>
      <c r="DE86" s="583"/>
      <c r="DF86" s="582"/>
      <c r="DG86" s="582"/>
      <c r="DH86" s="582"/>
      <c r="DI86" s="486"/>
      <c r="DJ86" s="305"/>
      <c r="DK86" s="486"/>
      <c r="DL86" s="486"/>
      <c r="DM86" s="583"/>
      <c r="DN86" s="582"/>
      <c r="DO86" s="582"/>
      <c r="DP86" s="582"/>
      <c r="DQ86" s="486"/>
      <c r="DR86" s="305"/>
      <c r="DS86" s="486"/>
      <c r="DT86" s="486"/>
      <c r="DU86" s="583"/>
      <c r="DV86" s="582"/>
      <c r="DW86" s="582"/>
      <c r="DX86" s="582"/>
      <c r="DY86" s="486"/>
      <c r="DZ86" s="305"/>
      <c r="EA86" s="486"/>
      <c r="EB86" s="486"/>
      <c r="EC86" s="583"/>
      <c r="ED86" s="582"/>
      <c r="EE86" s="582"/>
      <c r="EF86" s="582"/>
      <c r="EG86" s="486"/>
      <c r="EH86" s="305"/>
      <c r="EI86" s="486"/>
      <c r="EJ86" s="486"/>
      <c r="EK86" s="583"/>
      <c r="EL86" s="582"/>
      <c r="EM86" s="582"/>
      <c r="EN86" s="582"/>
      <c r="EO86" s="486"/>
      <c r="EP86" s="305"/>
      <c r="EQ86" s="486"/>
      <c r="ER86" s="486"/>
      <c r="ES86" s="583"/>
      <c r="ET86" s="582"/>
      <c r="EU86" s="582"/>
      <c r="EV86" s="582"/>
      <c r="EW86" s="486"/>
      <c r="EX86" s="305"/>
      <c r="EY86" s="486"/>
      <c r="EZ86" s="486"/>
      <c r="FA86" s="583"/>
      <c r="FB86" s="582"/>
      <c r="FC86" s="582"/>
      <c r="FD86" s="582"/>
      <c r="FE86" s="486"/>
      <c r="FF86" s="305"/>
      <c r="FG86" s="486"/>
      <c r="FH86" s="486"/>
      <c r="FI86" s="583"/>
      <c r="FJ86" s="582"/>
      <c r="FK86" s="582"/>
      <c r="FL86" s="582"/>
      <c r="FM86" s="486"/>
      <c r="FN86" s="305"/>
      <c r="FO86" s="486"/>
      <c r="FP86" s="486"/>
      <c r="FQ86" s="583"/>
      <c r="FR86" s="582"/>
      <c r="FS86" s="582"/>
      <c r="FT86" s="582"/>
      <c r="FU86" s="486"/>
      <c r="FV86" s="305"/>
      <c r="FW86" s="486"/>
      <c r="FX86" s="486"/>
      <c r="FY86" s="583"/>
      <c r="FZ86" s="582"/>
      <c r="GA86" s="582"/>
      <c r="GB86" s="582"/>
      <c r="GC86" s="486"/>
      <c r="GD86" s="305"/>
      <c r="GE86" s="486"/>
      <c r="GF86" s="486"/>
      <c r="GG86" s="583"/>
      <c r="GH86" s="582"/>
      <c r="GI86" s="582"/>
      <c r="GJ86" s="582"/>
      <c r="GK86" s="486"/>
      <c r="GL86" s="305"/>
      <c r="GM86" s="486"/>
      <c r="GN86" s="486"/>
      <c r="GO86" s="583"/>
      <c r="GP86" s="582"/>
      <c r="GQ86" s="582"/>
      <c r="GR86" s="582"/>
      <c r="GS86" s="486"/>
      <c r="GT86" s="305"/>
      <c r="GU86" s="486"/>
      <c r="GV86" s="486"/>
      <c r="GW86" s="583"/>
      <c r="GX86" s="582"/>
      <c r="GY86" s="582"/>
      <c r="GZ86" s="582"/>
      <c r="HA86" s="486"/>
      <c r="HB86" s="305"/>
      <c r="HC86" s="486"/>
      <c r="HD86" s="486"/>
      <c r="HE86" s="583"/>
      <c r="HF86" s="582"/>
      <c r="HG86" s="582"/>
      <c r="HH86" s="582"/>
      <c r="HI86" s="486"/>
      <c r="HJ86" s="305"/>
      <c r="HK86" s="486"/>
      <c r="HL86" s="486"/>
      <c r="HM86" s="583"/>
      <c r="HN86" s="582"/>
      <c r="HO86" s="582"/>
      <c r="HP86" s="582"/>
      <c r="HQ86" s="486"/>
      <c r="HR86" s="305"/>
      <c r="HS86" s="486"/>
      <c r="HT86" s="486"/>
      <c r="HU86" s="583"/>
      <c r="HV86" s="582"/>
      <c r="HW86" s="582"/>
      <c r="HX86" s="582"/>
      <c r="HY86" s="486"/>
      <c r="HZ86" s="305"/>
      <c r="IA86" s="486"/>
      <c r="IB86" s="486"/>
      <c r="IC86" s="583"/>
      <c r="ID86" s="582"/>
      <c r="IE86" s="582"/>
      <c r="IF86" s="582"/>
      <c r="IG86" s="486"/>
      <c r="IH86" s="305"/>
      <c r="II86" s="486"/>
      <c r="IJ86" s="486"/>
      <c r="IK86" s="583"/>
      <c r="IL86" s="582"/>
      <c r="IM86" s="582"/>
      <c r="IN86" s="582"/>
      <c r="IO86" s="486"/>
      <c r="IP86" s="305"/>
    </row>
    <row r="87" spans="1:250" s="244" customFormat="1">
      <c r="A87" s="297" t="s">
        <v>71</v>
      </c>
      <c r="B87" s="596">
        <v>35.938000000000002</v>
      </c>
      <c r="C87" s="546">
        <v>43.741999999999997</v>
      </c>
      <c r="D87" s="544">
        <v>47.448999999999998</v>
      </c>
      <c r="E87" s="597">
        <v>192.566</v>
      </c>
      <c r="F87" s="598"/>
      <c r="G87" s="597">
        <v>1728.576</v>
      </c>
      <c r="H87" s="599"/>
      <c r="I87" s="600">
        <v>2048.2710000000002</v>
      </c>
      <c r="J87" s="305"/>
      <c r="K87" s="602"/>
      <c r="L87" s="486"/>
      <c r="M87" s="586"/>
      <c r="N87" s="586"/>
      <c r="O87" s="586"/>
      <c r="P87" s="486"/>
      <c r="Q87" s="601"/>
      <c r="R87" s="305"/>
      <c r="S87" s="602"/>
      <c r="T87" s="486"/>
      <c r="U87" s="586"/>
      <c r="V87" s="586"/>
      <c r="W87" s="586"/>
      <c r="X87" s="486"/>
      <c r="Y87" s="601"/>
      <c r="Z87" s="305"/>
      <c r="AA87" s="602"/>
      <c r="AB87" s="486"/>
      <c r="AC87" s="586"/>
      <c r="AD87" s="586"/>
      <c r="AE87" s="586"/>
      <c r="AF87" s="486"/>
      <c r="AG87" s="601"/>
      <c r="AH87" s="305"/>
      <c r="AI87" s="602"/>
      <c r="AJ87" s="486"/>
      <c r="AK87" s="586"/>
      <c r="AL87" s="586"/>
      <c r="AM87" s="586"/>
      <c r="AN87" s="486"/>
      <c r="AO87" s="601"/>
      <c r="AP87" s="305"/>
      <c r="AQ87" s="602"/>
      <c r="AR87" s="486"/>
      <c r="AS87" s="586"/>
      <c r="AT87" s="586"/>
      <c r="AU87" s="586"/>
      <c r="AV87" s="486"/>
      <c r="AW87" s="601"/>
      <c r="AX87" s="305"/>
      <c r="AY87" s="602"/>
      <c r="AZ87" s="486"/>
      <c r="BA87" s="586"/>
      <c r="BB87" s="586"/>
      <c r="BC87" s="586"/>
      <c r="BD87" s="486"/>
      <c r="BE87" s="601"/>
      <c r="BF87" s="305"/>
      <c r="BG87" s="602"/>
      <c r="BH87" s="486"/>
      <c r="BI87" s="586"/>
      <c r="BJ87" s="586"/>
      <c r="BK87" s="586"/>
      <c r="BL87" s="486"/>
      <c r="BM87" s="601"/>
      <c r="BN87" s="305"/>
      <c r="BO87" s="602"/>
      <c r="BP87" s="486"/>
      <c r="BQ87" s="586"/>
      <c r="BR87" s="586"/>
      <c r="BS87" s="586"/>
      <c r="BT87" s="486"/>
      <c r="BU87" s="601"/>
      <c r="BV87" s="305"/>
      <c r="BW87" s="602"/>
      <c r="BX87" s="486"/>
      <c r="BY87" s="586"/>
      <c r="BZ87" s="586"/>
      <c r="CA87" s="586"/>
      <c r="CB87" s="486"/>
      <c r="CC87" s="601"/>
      <c r="CD87" s="305"/>
      <c r="CE87" s="602"/>
      <c r="CF87" s="486"/>
      <c r="CG87" s="586"/>
      <c r="CH87" s="586"/>
      <c r="CI87" s="586"/>
      <c r="CJ87" s="486"/>
      <c r="CK87" s="601"/>
      <c r="CL87" s="305"/>
      <c r="CM87" s="602"/>
      <c r="CN87" s="486"/>
      <c r="CO87" s="586"/>
      <c r="CP87" s="586"/>
      <c r="CQ87" s="586"/>
      <c r="CR87" s="486"/>
      <c r="CS87" s="601"/>
      <c r="CT87" s="305"/>
      <c r="CU87" s="602"/>
      <c r="CV87" s="486"/>
      <c r="CW87" s="586"/>
      <c r="CX87" s="586"/>
      <c r="CY87" s="586"/>
      <c r="CZ87" s="486"/>
      <c r="DA87" s="601"/>
      <c r="DB87" s="305"/>
      <c r="DC87" s="602"/>
      <c r="DD87" s="486"/>
      <c r="DE87" s="586"/>
      <c r="DF87" s="586"/>
      <c r="DG87" s="586"/>
      <c r="DH87" s="486"/>
      <c r="DI87" s="601"/>
      <c r="DJ87" s="305"/>
      <c r="DK87" s="602"/>
      <c r="DL87" s="486"/>
      <c r="DM87" s="586"/>
      <c r="DN87" s="586"/>
      <c r="DO87" s="586"/>
      <c r="DP87" s="486"/>
      <c r="DQ87" s="601"/>
      <c r="DR87" s="305"/>
      <c r="DS87" s="602"/>
      <c r="DT87" s="486"/>
      <c r="DU87" s="586"/>
      <c r="DV87" s="586"/>
      <c r="DW87" s="586"/>
      <c r="DX87" s="486"/>
      <c r="DY87" s="601"/>
      <c r="DZ87" s="305"/>
      <c r="EA87" s="602"/>
      <c r="EB87" s="486"/>
      <c r="EC87" s="586"/>
      <c r="ED87" s="586"/>
      <c r="EE87" s="586"/>
      <c r="EF87" s="486"/>
      <c r="EG87" s="601"/>
      <c r="EH87" s="305"/>
      <c r="EI87" s="602"/>
      <c r="EJ87" s="486"/>
      <c r="EK87" s="586"/>
      <c r="EL87" s="586"/>
      <c r="EM87" s="586"/>
      <c r="EN87" s="486"/>
      <c r="EO87" s="601"/>
      <c r="EP87" s="305"/>
      <c r="EQ87" s="602"/>
      <c r="ER87" s="486"/>
      <c r="ES87" s="586"/>
      <c r="ET87" s="586"/>
      <c r="EU87" s="586"/>
      <c r="EV87" s="486"/>
      <c r="EW87" s="601"/>
      <c r="EX87" s="305"/>
      <c r="EY87" s="602"/>
      <c r="EZ87" s="486"/>
      <c r="FA87" s="586"/>
      <c r="FB87" s="586"/>
      <c r="FC87" s="586"/>
      <c r="FD87" s="486"/>
      <c r="FE87" s="601"/>
      <c r="FF87" s="305"/>
      <c r="FG87" s="602"/>
      <c r="FH87" s="486"/>
      <c r="FI87" s="586"/>
      <c r="FJ87" s="586"/>
      <c r="FK87" s="586"/>
      <c r="FL87" s="486"/>
      <c r="FM87" s="601"/>
      <c r="FN87" s="305"/>
      <c r="FO87" s="602"/>
      <c r="FP87" s="486"/>
      <c r="FQ87" s="586"/>
      <c r="FR87" s="586"/>
      <c r="FS87" s="586"/>
      <c r="FT87" s="486"/>
      <c r="FU87" s="601"/>
      <c r="FV87" s="305"/>
      <c r="FW87" s="602"/>
      <c r="FX87" s="486"/>
      <c r="FY87" s="586"/>
      <c r="FZ87" s="586"/>
      <c r="GA87" s="586"/>
      <c r="GB87" s="486"/>
      <c r="GC87" s="601"/>
      <c r="GD87" s="305"/>
      <c r="GE87" s="602"/>
      <c r="GF87" s="486"/>
      <c r="GG87" s="586"/>
      <c r="GH87" s="586"/>
      <c r="GI87" s="586"/>
      <c r="GJ87" s="486"/>
      <c r="GK87" s="601"/>
      <c r="GL87" s="305"/>
      <c r="GM87" s="602"/>
      <c r="GN87" s="486"/>
      <c r="GO87" s="586"/>
      <c r="GP87" s="586"/>
      <c r="GQ87" s="586"/>
      <c r="GR87" s="486"/>
      <c r="GS87" s="601"/>
      <c r="GT87" s="305"/>
      <c r="GU87" s="602"/>
      <c r="GV87" s="486"/>
      <c r="GW87" s="586"/>
      <c r="GX87" s="586"/>
      <c r="GY87" s="586"/>
      <c r="GZ87" s="486"/>
      <c r="HA87" s="601"/>
      <c r="HB87" s="305"/>
      <c r="HC87" s="602"/>
      <c r="HD87" s="486"/>
      <c r="HE87" s="586"/>
      <c r="HF87" s="586"/>
      <c r="HG87" s="586"/>
      <c r="HH87" s="486"/>
      <c r="HI87" s="601"/>
      <c r="HJ87" s="305"/>
      <c r="HK87" s="602"/>
      <c r="HL87" s="486"/>
      <c r="HM87" s="586"/>
      <c r="HN87" s="586"/>
      <c r="HO87" s="586"/>
      <c r="HP87" s="486"/>
      <c r="HQ87" s="601"/>
      <c r="HR87" s="305"/>
      <c r="HS87" s="602"/>
      <c r="HT87" s="486"/>
      <c r="HU87" s="586"/>
      <c r="HV87" s="586"/>
      <c r="HW87" s="586"/>
      <c r="HX87" s="486"/>
      <c r="HY87" s="601"/>
      <c r="HZ87" s="305"/>
      <c r="IA87" s="602"/>
      <c r="IB87" s="486"/>
      <c r="IC87" s="586"/>
      <c r="ID87" s="586"/>
      <c r="IE87" s="586"/>
      <c r="IF87" s="486"/>
      <c r="IG87" s="601"/>
      <c r="IH87" s="305"/>
      <c r="II87" s="602"/>
      <c r="IJ87" s="486"/>
      <c r="IK87" s="586"/>
      <c r="IL87" s="586"/>
      <c r="IM87" s="586"/>
      <c r="IN87" s="486"/>
      <c r="IO87" s="601"/>
      <c r="IP87" s="305"/>
    </row>
    <row r="88" spans="1:250" s="244" customFormat="1">
      <c r="A88" s="540" t="s">
        <v>168</v>
      </c>
      <c r="B88" s="596">
        <v>24.231999999999999</v>
      </c>
      <c r="C88" s="596">
        <v>37.643000000000001</v>
      </c>
      <c r="D88" s="596">
        <v>58.902999999999999</v>
      </c>
      <c r="E88" s="603">
        <v>285.19299999999998</v>
      </c>
      <c r="F88" s="604"/>
      <c r="G88" s="605">
        <v>1534.318</v>
      </c>
      <c r="H88" s="561"/>
      <c r="I88" s="606">
        <v>1940.289</v>
      </c>
      <c r="J88" s="305"/>
      <c r="K88" s="602"/>
      <c r="L88" s="486"/>
      <c r="M88" s="586"/>
      <c r="N88" s="586"/>
      <c r="O88" s="586"/>
      <c r="P88" s="486"/>
      <c r="Q88" s="601"/>
      <c r="R88" s="305"/>
      <c r="S88" s="602"/>
      <c r="T88" s="486"/>
      <c r="U88" s="586"/>
      <c r="V88" s="586"/>
      <c r="W88" s="586"/>
      <c r="X88" s="486"/>
      <c r="Y88" s="601"/>
      <c r="Z88" s="305"/>
      <c r="AA88" s="602"/>
      <c r="AB88" s="486"/>
      <c r="AC88" s="586"/>
      <c r="AD88" s="586"/>
      <c r="AE88" s="586"/>
      <c r="AF88" s="486"/>
      <c r="AG88" s="601"/>
      <c r="AH88" s="305"/>
      <c r="AI88" s="602"/>
      <c r="AJ88" s="486"/>
      <c r="AK88" s="586"/>
      <c r="AL88" s="586"/>
      <c r="AM88" s="586"/>
      <c r="AN88" s="486"/>
      <c r="AO88" s="601"/>
      <c r="AP88" s="305"/>
      <c r="AQ88" s="602"/>
      <c r="AR88" s="486"/>
      <c r="AS88" s="586"/>
      <c r="AT88" s="586"/>
      <c r="AU88" s="586"/>
      <c r="AV88" s="486"/>
      <c r="AW88" s="601"/>
      <c r="AX88" s="305"/>
      <c r="AY88" s="602"/>
      <c r="AZ88" s="486"/>
      <c r="BA88" s="586"/>
      <c r="BB88" s="586"/>
      <c r="BC88" s="586"/>
      <c r="BD88" s="486"/>
      <c r="BE88" s="601"/>
      <c r="BF88" s="305"/>
      <c r="BG88" s="602"/>
      <c r="BH88" s="486"/>
      <c r="BI88" s="586"/>
      <c r="BJ88" s="586"/>
      <c r="BK88" s="586"/>
      <c r="BL88" s="486"/>
      <c r="BM88" s="601"/>
      <c r="BN88" s="305"/>
      <c r="BO88" s="602"/>
      <c r="BP88" s="486"/>
      <c r="BQ88" s="586"/>
      <c r="BR88" s="586"/>
      <c r="BS88" s="586"/>
      <c r="BT88" s="486"/>
      <c r="BU88" s="601"/>
      <c r="BV88" s="305"/>
      <c r="BW88" s="602"/>
      <c r="BX88" s="486"/>
      <c r="BY88" s="586"/>
      <c r="BZ88" s="586"/>
      <c r="CA88" s="586"/>
      <c r="CB88" s="486"/>
      <c r="CC88" s="601"/>
      <c r="CD88" s="305"/>
      <c r="CE88" s="602"/>
      <c r="CF88" s="486"/>
      <c r="CG88" s="586"/>
      <c r="CH88" s="586"/>
      <c r="CI88" s="586"/>
      <c r="CJ88" s="486"/>
      <c r="CK88" s="601"/>
      <c r="CL88" s="305"/>
      <c r="CM88" s="602"/>
      <c r="CN88" s="486"/>
      <c r="CO88" s="586"/>
      <c r="CP88" s="586"/>
      <c r="CQ88" s="586"/>
      <c r="CR88" s="486"/>
      <c r="CS88" s="601"/>
      <c r="CT88" s="305"/>
      <c r="CU88" s="602"/>
      <c r="CV88" s="486"/>
      <c r="CW88" s="586"/>
      <c r="CX88" s="586"/>
      <c r="CY88" s="586"/>
      <c r="CZ88" s="486"/>
      <c r="DA88" s="601"/>
      <c r="DB88" s="305"/>
      <c r="DC88" s="602"/>
      <c r="DD88" s="486"/>
      <c r="DE88" s="586"/>
      <c r="DF88" s="586"/>
      <c r="DG88" s="586"/>
      <c r="DH88" s="486"/>
      <c r="DI88" s="601"/>
      <c r="DJ88" s="305"/>
      <c r="DK88" s="602"/>
      <c r="DL88" s="486"/>
      <c r="DM88" s="586"/>
      <c r="DN88" s="586"/>
      <c r="DO88" s="586"/>
      <c r="DP88" s="486"/>
      <c r="DQ88" s="601"/>
      <c r="DR88" s="305"/>
      <c r="DS88" s="602"/>
      <c r="DT88" s="486"/>
      <c r="DU88" s="586"/>
      <c r="DV88" s="586"/>
      <c r="DW88" s="586"/>
      <c r="DX88" s="486"/>
      <c r="DY88" s="601"/>
      <c r="DZ88" s="305"/>
      <c r="EA88" s="602"/>
      <c r="EB88" s="486"/>
      <c r="EC88" s="586"/>
      <c r="ED88" s="586"/>
      <c r="EE88" s="586"/>
      <c r="EF88" s="486"/>
      <c r="EG88" s="601"/>
      <c r="EH88" s="305"/>
      <c r="EI88" s="602"/>
      <c r="EJ88" s="486"/>
      <c r="EK88" s="586"/>
      <c r="EL88" s="586"/>
      <c r="EM88" s="586"/>
      <c r="EN88" s="486"/>
      <c r="EO88" s="601"/>
      <c r="EP88" s="305"/>
      <c r="EQ88" s="602"/>
      <c r="ER88" s="486"/>
      <c r="ES88" s="586"/>
      <c r="ET88" s="586"/>
      <c r="EU88" s="586"/>
      <c r="EV88" s="486"/>
      <c r="EW88" s="601"/>
      <c r="EX88" s="305"/>
      <c r="EY88" s="602"/>
      <c r="EZ88" s="486"/>
      <c r="FA88" s="586"/>
      <c r="FB88" s="586"/>
      <c r="FC88" s="586"/>
      <c r="FD88" s="486"/>
      <c r="FE88" s="601"/>
      <c r="FF88" s="305"/>
      <c r="FG88" s="602"/>
      <c r="FH88" s="486"/>
      <c r="FI88" s="586"/>
      <c r="FJ88" s="586"/>
      <c r="FK88" s="586"/>
      <c r="FL88" s="486"/>
      <c r="FM88" s="601"/>
      <c r="FN88" s="305"/>
      <c r="FO88" s="602"/>
      <c r="FP88" s="486"/>
      <c r="FQ88" s="586"/>
      <c r="FR88" s="586"/>
      <c r="FS88" s="586"/>
      <c r="FT88" s="486"/>
      <c r="FU88" s="601"/>
      <c r="FV88" s="305"/>
      <c r="FW88" s="602"/>
      <c r="FX88" s="486"/>
      <c r="FY88" s="586"/>
      <c r="FZ88" s="586"/>
      <c r="GA88" s="586"/>
      <c r="GB88" s="486"/>
      <c r="GC88" s="601"/>
      <c r="GD88" s="305"/>
      <c r="GE88" s="602"/>
      <c r="GF88" s="486"/>
      <c r="GG88" s="586"/>
      <c r="GH88" s="586"/>
      <c r="GI88" s="586"/>
      <c r="GJ88" s="486"/>
      <c r="GK88" s="601"/>
      <c r="GL88" s="305"/>
      <c r="GM88" s="602"/>
      <c r="GN88" s="486"/>
      <c r="GO88" s="586"/>
      <c r="GP88" s="586"/>
      <c r="GQ88" s="586"/>
      <c r="GR88" s="486"/>
      <c r="GS88" s="601"/>
      <c r="GT88" s="305"/>
      <c r="GU88" s="602"/>
      <c r="GV88" s="486"/>
      <c r="GW88" s="586"/>
      <c r="GX88" s="586"/>
      <c r="GY88" s="586"/>
      <c r="GZ88" s="486"/>
      <c r="HA88" s="601"/>
      <c r="HB88" s="305"/>
      <c r="HC88" s="602"/>
      <c r="HD88" s="486"/>
      <c r="HE88" s="586"/>
      <c r="HF88" s="586"/>
      <c r="HG88" s="586"/>
      <c r="HH88" s="486"/>
      <c r="HI88" s="601"/>
      <c r="HJ88" s="305"/>
      <c r="HK88" s="602"/>
      <c r="HL88" s="486"/>
      <c r="HM88" s="586"/>
      <c r="HN88" s="586"/>
      <c r="HO88" s="586"/>
      <c r="HP88" s="486"/>
      <c r="HQ88" s="601"/>
      <c r="HR88" s="305"/>
      <c r="HS88" s="602"/>
      <c r="HT88" s="486"/>
      <c r="HU88" s="586"/>
      <c r="HV88" s="586"/>
      <c r="HW88" s="586"/>
      <c r="HX88" s="486"/>
      <c r="HY88" s="601"/>
      <c r="HZ88" s="305"/>
      <c r="IA88" s="602"/>
      <c r="IB88" s="486"/>
      <c r="IC88" s="586"/>
      <c r="ID88" s="586"/>
      <c r="IE88" s="586"/>
      <c r="IF88" s="486"/>
      <c r="IG88" s="601"/>
      <c r="IH88" s="305"/>
      <c r="II88" s="602"/>
      <c r="IJ88" s="486"/>
      <c r="IK88" s="586"/>
      <c r="IL88" s="586"/>
      <c r="IM88" s="586"/>
      <c r="IN88" s="486"/>
      <c r="IO88" s="601"/>
      <c r="IP88" s="305"/>
    </row>
    <row r="89" spans="1:250" s="244" customFormat="1" ht="14.1" hidden="1" customHeight="1">
      <c r="A89" s="306" t="s">
        <v>72</v>
      </c>
      <c r="B89" s="596"/>
      <c r="C89" s="596">
        <v>1726980</v>
      </c>
      <c r="D89" s="596">
        <v>27249</v>
      </c>
      <c r="E89" s="566">
        <v>213309</v>
      </c>
      <c r="F89" s="566">
        <v>1967538</v>
      </c>
      <c r="G89" s="548" t="e">
        <v>#DIV/0!</v>
      </c>
      <c r="H89" s="577"/>
      <c r="I89" s="606" t="e">
        <v>#DIV/0!</v>
      </c>
      <c r="J89" s="305"/>
      <c r="K89" s="602"/>
      <c r="L89" s="486"/>
      <c r="M89" s="586"/>
      <c r="N89" s="586"/>
      <c r="O89" s="586"/>
      <c r="P89" s="486"/>
      <c r="Q89" s="601"/>
      <c r="R89" s="305"/>
      <c r="S89" s="602"/>
      <c r="T89" s="486"/>
      <c r="U89" s="586"/>
      <c r="V89" s="586"/>
      <c r="W89" s="586"/>
      <c r="X89" s="486"/>
      <c r="Y89" s="601"/>
      <c r="Z89" s="305"/>
      <c r="AA89" s="602"/>
      <c r="AB89" s="486"/>
      <c r="AC89" s="586"/>
      <c r="AD89" s="586"/>
      <c r="AE89" s="586"/>
      <c r="AF89" s="486"/>
      <c r="AG89" s="601"/>
      <c r="AH89" s="305"/>
      <c r="AI89" s="602"/>
      <c r="AJ89" s="486"/>
      <c r="AK89" s="586"/>
      <c r="AL89" s="586"/>
      <c r="AM89" s="586"/>
      <c r="AN89" s="486"/>
      <c r="AO89" s="601"/>
      <c r="AP89" s="305"/>
      <c r="AQ89" s="602"/>
      <c r="AR89" s="486"/>
      <c r="AS89" s="586"/>
      <c r="AT89" s="586"/>
      <c r="AU89" s="586"/>
      <c r="AV89" s="486"/>
      <c r="AW89" s="601"/>
      <c r="AX89" s="305"/>
      <c r="AY89" s="602"/>
      <c r="AZ89" s="486"/>
      <c r="BA89" s="586"/>
      <c r="BB89" s="586"/>
      <c r="BC89" s="586"/>
      <c r="BD89" s="486"/>
      <c r="BE89" s="601"/>
      <c r="BF89" s="305"/>
      <c r="BG89" s="602"/>
      <c r="BH89" s="486"/>
      <c r="BI89" s="586"/>
      <c r="BJ89" s="586"/>
      <c r="BK89" s="586"/>
      <c r="BL89" s="486"/>
      <c r="BM89" s="601"/>
      <c r="BN89" s="305"/>
      <c r="BO89" s="602"/>
      <c r="BP89" s="486"/>
      <c r="BQ89" s="586"/>
      <c r="BR89" s="586"/>
      <c r="BS89" s="586"/>
      <c r="BT89" s="486"/>
      <c r="BU89" s="601"/>
      <c r="BV89" s="305"/>
      <c r="BW89" s="602"/>
      <c r="BX89" s="486"/>
      <c r="BY89" s="586"/>
      <c r="BZ89" s="586"/>
      <c r="CA89" s="586"/>
      <c r="CB89" s="486"/>
      <c r="CC89" s="601"/>
      <c r="CD89" s="305"/>
      <c r="CE89" s="602"/>
      <c r="CF89" s="486"/>
      <c r="CG89" s="586"/>
      <c r="CH89" s="586"/>
      <c r="CI89" s="586"/>
      <c r="CJ89" s="486"/>
      <c r="CK89" s="601"/>
      <c r="CL89" s="305"/>
      <c r="CM89" s="602"/>
      <c r="CN89" s="486"/>
      <c r="CO89" s="586"/>
      <c r="CP89" s="586"/>
      <c r="CQ89" s="586"/>
      <c r="CR89" s="486"/>
      <c r="CS89" s="601"/>
      <c r="CT89" s="305"/>
      <c r="CU89" s="602"/>
      <c r="CV89" s="486"/>
      <c r="CW89" s="586"/>
      <c r="CX89" s="586"/>
      <c r="CY89" s="586"/>
      <c r="CZ89" s="486"/>
      <c r="DA89" s="601"/>
      <c r="DB89" s="305"/>
      <c r="DC89" s="602"/>
      <c r="DD89" s="486"/>
      <c r="DE89" s="586"/>
      <c r="DF89" s="586"/>
      <c r="DG89" s="586"/>
      <c r="DH89" s="486"/>
      <c r="DI89" s="601"/>
      <c r="DJ89" s="305"/>
      <c r="DK89" s="602"/>
      <c r="DL89" s="486"/>
      <c r="DM89" s="586"/>
      <c r="DN89" s="586"/>
      <c r="DO89" s="586"/>
      <c r="DP89" s="486"/>
      <c r="DQ89" s="601"/>
      <c r="DR89" s="305"/>
      <c r="DS89" s="602"/>
      <c r="DT89" s="486"/>
      <c r="DU89" s="586"/>
      <c r="DV89" s="586"/>
      <c r="DW89" s="586"/>
      <c r="DX89" s="486"/>
      <c r="DY89" s="601"/>
      <c r="DZ89" s="305"/>
      <c r="EA89" s="602"/>
      <c r="EB89" s="486"/>
      <c r="EC89" s="586"/>
      <c r="ED89" s="586"/>
      <c r="EE89" s="586"/>
      <c r="EF89" s="486"/>
      <c r="EG89" s="601"/>
      <c r="EH89" s="305"/>
      <c r="EI89" s="602"/>
      <c r="EJ89" s="486"/>
      <c r="EK89" s="586"/>
      <c r="EL89" s="586"/>
      <c r="EM89" s="586"/>
      <c r="EN89" s="486"/>
      <c r="EO89" s="601"/>
      <c r="EP89" s="305"/>
      <c r="EQ89" s="602"/>
      <c r="ER89" s="486"/>
      <c r="ES89" s="586"/>
      <c r="ET89" s="586"/>
      <c r="EU89" s="586"/>
      <c r="EV89" s="486"/>
      <c r="EW89" s="601"/>
      <c r="EX89" s="305"/>
      <c r="EY89" s="602"/>
      <c r="EZ89" s="486"/>
      <c r="FA89" s="586"/>
      <c r="FB89" s="586"/>
      <c r="FC89" s="586"/>
      <c r="FD89" s="486"/>
      <c r="FE89" s="601"/>
      <c r="FF89" s="305"/>
      <c r="FG89" s="602"/>
      <c r="FH89" s="486"/>
      <c r="FI89" s="586"/>
      <c r="FJ89" s="586"/>
      <c r="FK89" s="586"/>
      <c r="FL89" s="486"/>
      <c r="FM89" s="601"/>
      <c r="FN89" s="305"/>
      <c r="FO89" s="602"/>
      <c r="FP89" s="486"/>
      <c r="FQ89" s="586"/>
      <c r="FR89" s="586"/>
      <c r="FS89" s="586"/>
      <c r="FT89" s="486"/>
      <c r="FU89" s="601"/>
      <c r="FV89" s="305"/>
      <c r="FW89" s="602"/>
      <c r="FX89" s="486"/>
      <c r="FY89" s="586"/>
      <c r="FZ89" s="586"/>
      <c r="GA89" s="586"/>
      <c r="GB89" s="486"/>
      <c r="GC89" s="601"/>
      <c r="GD89" s="305"/>
      <c r="GE89" s="602"/>
      <c r="GF89" s="486"/>
      <c r="GG89" s="586"/>
      <c r="GH89" s="586"/>
      <c r="GI89" s="586"/>
      <c r="GJ89" s="486"/>
      <c r="GK89" s="601"/>
      <c r="GL89" s="305"/>
      <c r="GM89" s="602"/>
      <c r="GN89" s="486"/>
      <c r="GO89" s="586"/>
      <c r="GP89" s="586"/>
      <c r="GQ89" s="586"/>
      <c r="GR89" s="486"/>
      <c r="GS89" s="601"/>
      <c r="GT89" s="305"/>
      <c r="GU89" s="602"/>
      <c r="GV89" s="486"/>
      <c r="GW89" s="586"/>
      <c r="GX89" s="586"/>
      <c r="GY89" s="586"/>
      <c r="GZ89" s="486"/>
      <c r="HA89" s="601"/>
      <c r="HB89" s="305"/>
      <c r="HC89" s="602"/>
      <c r="HD89" s="486"/>
      <c r="HE89" s="586"/>
      <c r="HF89" s="586"/>
      <c r="HG89" s="586"/>
      <c r="HH89" s="486"/>
      <c r="HI89" s="601"/>
      <c r="HJ89" s="305"/>
      <c r="HK89" s="602"/>
      <c r="HL89" s="486"/>
      <c r="HM89" s="586"/>
      <c r="HN89" s="586"/>
      <c r="HO89" s="586"/>
      <c r="HP89" s="486"/>
      <c r="HQ89" s="601"/>
      <c r="HR89" s="305"/>
      <c r="HS89" s="602"/>
      <c r="HT89" s="486"/>
      <c r="HU89" s="586"/>
      <c r="HV89" s="586"/>
      <c r="HW89" s="586"/>
      <c r="HX89" s="486"/>
      <c r="HY89" s="601"/>
      <c r="HZ89" s="305"/>
      <c r="IA89" s="602"/>
      <c r="IB89" s="486"/>
      <c r="IC89" s="586"/>
      <c r="ID89" s="586"/>
      <c r="IE89" s="586"/>
      <c r="IF89" s="486"/>
      <c r="IG89" s="601"/>
      <c r="IH89" s="305"/>
      <c r="II89" s="602"/>
      <c r="IJ89" s="486"/>
      <c r="IK89" s="586"/>
      <c r="IL89" s="586"/>
      <c r="IM89" s="586"/>
      <c r="IN89" s="486"/>
      <c r="IO89" s="601"/>
      <c r="IP89" s="305"/>
    </row>
    <row r="90" spans="1:250" s="244" customFormat="1" ht="14.1" hidden="1" customHeight="1">
      <c r="A90" s="306" t="s">
        <v>73</v>
      </c>
      <c r="B90" s="596">
        <v>19.065999999999999</v>
      </c>
      <c r="C90" s="596">
        <v>55.573</v>
      </c>
      <c r="D90" s="596">
        <v>45.631999999999998</v>
      </c>
      <c r="E90" s="566">
        <v>109.75</v>
      </c>
      <c r="F90" s="605">
        <v>1718.0630000000001</v>
      </c>
      <c r="G90" s="603"/>
      <c r="H90" s="561"/>
      <c r="I90" s="606">
        <v>1948.0840000000001</v>
      </c>
      <c r="J90" s="305"/>
      <c r="K90" s="602"/>
      <c r="L90" s="486"/>
      <c r="M90" s="586"/>
      <c r="N90" s="586"/>
      <c r="O90" s="586"/>
      <c r="P90" s="486"/>
      <c r="Q90" s="601"/>
      <c r="R90" s="305"/>
      <c r="S90" s="602"/>
      <c r="T90" s="486"/>
      <c r="U90" s="586"/>
      <c r="V90" s="586"/>
      <c r="W90" s="586"/>
      <c r="X90" s="486"/>
      <c r="Y90" s="601"/>
      <c r="Z90" s="305"/>
      <c r="AA90" s="602"/>
      <c r="AB90" s="486"/>
      <c r="AC90" s="586"/>
      <c r="AD90" s="586"/>
      <c r="AE90" s="586"/>
      <c r="AF90" s="486"/>
      <c r="AG90" s="601"/>
      <c r="AH90" s="305"/>
      <c r="AI90" s="602"/>
      <c r="AJ90" s="486"/>
      <c r="AK90" s="586"/>
      <c r="AL90" s="586"/>
      <c r="AM90" s="586"/>
      <c r="AN90" s="486"/>
      <c r="AO90" s="601"/>
      <c r="AP90" s="305"/>
      <c r="AQ90" s="602"/>
      <c r="AR90" s="486"/>
      <c r="AS90" s="586"/>
      <c r="AT90" s="586"/>
      <c r="AU90" s="586"/>
      <c r="AV90" s="486"/>
      <c r="AW90" s="601"/>
      <c r="AX90" s="305"/>
      <c r="AY90" s="602"/>
      <c r="AZ90" s="486"/>
      <c r="BA90" s="586"/>
      <c r="BB90" s="586"/>
      <c r="BC90" s="586"/>
      <c r="BD90" s="486"/>
      <c r="BE90" s="601"/>
      <c r="BF90" s="305"/>
      <c r="BG90" s="602"/>
      <c r="BH90" s="486"/>
      <c r="BI90" s="586"/>
      <c r="BJ90" s="586"/>
      <c r="BK90" s="586"/>
      <c r="BL90" s="486"/>
      <c r="BM90" s="601"/>
      <c r="BN90" s="305"/>
      <c r="BO90" s="602"/>
      <c r="BP90" s="486"/>
      <c r="BQ90" s="586"/>
      <c r="BR90" s="586"/>
      <c r="BS90" s="586"/>
      <c r="BT90" s="486"/>
      <c r="BU90" s="601"/>
      <c r="BV90" s="305"/>
      <c r="BW90" s="602"/>
      <c r="BX90" s="486"/>
      <c r="BY90" s="586"/>
      <c r="BZ90" s="586"/>
      <c r="CA90" s="586"/>
      <c r="CB90" s="486"/>
      <c r="CC90" s="601"/>
      <c r="CD90" s="305"/>
      <c r="CE90" s="602"/>
      <c r="CF90" s="486"/>
      <c r="CG90" s="586"/>
      <c r="CH90" s="586"/>
      <c r="CI90" s="586"/>
      <c r="CJ90" s="486"/>
      <c r="CK90" s="601"/>
      <c r="CL90" s="305"/>
      <c r="CM90" s="602"/>
      <c r="CN90" s="486"/>
      <c r="CO90" s="586"/>
      <c r="CP90" s="586"/>
      <c r="CQ90" s="586"/>
      <c r="CR90" s="486"/>
      <c r="CS90" s="601"/>
      <c r="CT90" s="305"/>
      <c r="CU90" s="602"/>
      <c r="CV90" s="486"/>
      <c r="CW90" s="586"/>
      <c r="CX90" s="586"/>
      <c r="CY90" s="586"/>
      <c r="CZ90" s="486"/>
      <c r="DA90" s="601"/>
      <c r="DB90" s="305"/>
      <c r="DC90" s="602"/>
      <c r="DD90" s="486"/>
      <c r="DE90" s="586"/>
      <c r="DF90" s="586"/>
      <c r="DG90" s="586"/>
      <c r="DH90" s="486"/>
      <c r="DI90" s="601"/>
      <c r="DJ90" s="305"/>
      <c r="DK90" s="602"/>
      <c r="DL90" s="486"/>
      <c r="DM90" s="586"/>
      <c r="DN90" s="586"/>
      <c r="DO90" s="586"/>
      <c r="DP90" s="486"/>
      <c r="DQ90" s="601"/>
      <c r="DR90" s="305"/>
      <c r="DS90" s="602"/>
      <c r="DT90" s="486"/>
      <c r="DU90" s="586"/>
      <c r="DV90" s="586"/>
      <c r="DW90" s="586"/>
      <c r="DX90" s="486"/>
      <c r="DY90" s="601"/>
      <c r="DZ90" s="305"/>
      <c r="EA90" s="602"/>
      <c r="EB90" s="486"/>
      <c r="EC90" s="586"/>
      <c r="ED90" s="586"/>
      <c r="EE90" s="586"/>
      <c r="EF90" s="486"/>
      <c r="EG90" s="601"/>
      <c r="EH90" s="305"/>
      <c r="EI90" s="602"/>
      <c r="EJ90" s="486"/>
      <c r="EK90" s="586"/>
      <c r="EL90" s="586"/>
      <c r="EM90" s="586"/>
      <c r="EN90" s="486"/>
      <c r="EO90" s="601"/>
      <c r="EP90" s="305"/>
      <c r="EQ90" s="602"/>
      <c r="ER90" s="486"/>
      <c r="ES90" s="586"/>
      <c r="ET90" s="586"/>
      <c r="EU90" s="586"/>
      <c r="EV90" s="486"/>
      <c r="EW90" s="601"/>
      <c r="EX90" s="305"/>
      <c r="EY90" s="602"/>
      <c r="EZ90" s="486"/>
      <c r="FA90" s="586"/>
      <c r="FB90" s="586"/>
      <c r="FC90" s="586"/>
      <c r="FD90" s="486"/>
      <c r="FE90" s="601"/>
      <c r="FF90" s="305"/>
      <c r="FG90" s="602"/>
      <c r="FH90" s="486"/>
      <c r="FI90" s="586"/>
      <c r="FJ90" s="586"/>
      <c r="FK90" s="586"/>
      <c r="FL90" s="486"/>
      <c r="FM90" s="601"/>
      <c r="FN90" s="305"/>
      <c r="FO90" s="602"/>
      <c r="FP90" s="486"/>
      <c r="FQ90" s="586"/>
      <c r="FR90" s="586"/>
      <c r="FS90" s="586"/>
      <c r="FT90" s="486"/>
      <c r="FU90" s="601"/>
      <c r="FV90" s="305"/>
      <c r="FW90" s="602"/>
      <c r="FX90" s="486"/>
      <c r="FY90" s="586"/>
      <c r="FZ90" s="586"/>
      <c r="GA90" s="586"/>
      <c r="GB90" s="486"/>
      <c r="GC90" s="601"/>
      <c r="GD90" s="305"/>
      <c r="GE90" s="602"/>
      <c r="GF90" s="486"/>
      <c r="GG90" s="586"/>
      <c r="GH90" s="586"/>
      <c r="GI90" s="586"/>
      <c r="GJ90" s="486"/>
      <c r="GK90" s="601"/>
      <c r="GL90" s="305"/>
      <c r="GM90" s="602"/>
      <c r="GN90" s="486"/>
      <c r="GO90" s="586"/>
      <c r="GP90" s="586"/>
      <c r="GQ90" s="586"/>
      <c r="GR90" s="486"/>
      <c r="GS90" s="601"/>
      <c r="GT90" s="305"/>
      <c r="GU90" s="602"/>
      <c r="GV90" s="486"/>
      <c r="GW90" s="586"/>
      <c r="GX90" s="586"/>
      <c r="GY90" s="586"/>
      <c r="GZ90" s="486"/>
      <c r="HA90" s="601"/>
      <c r="HB90" s="305"/>
      <c r="HC90" s="602"/>
      <c r="HD90" s="486"/>
      <c r="HE90" s="586"/>
      <c r="HF90" s="586"/>
      <c r="HG90" s="586"/>
      <c r="HH90" s="486"/>
      <c r="HI90" s="601"/>
      <c r="HJ90" s="305"/>
      <c r="HK90" s="602"/>
      <c r="HL90" s="486"/>
      <c r="HM90" s="586"/>
      <c r="HN90" s="586"/>
      <c r="HO90" s="586"/>
      <c r="HP90" s="486"/>
      <c r="HQ90" s="601"/>
      <c r="HR90" s="305"/>
      <c r="HS90" s="602"/>
      <c r="HT90" s="486"/>
      <c r="HU90" s="586"/>
      <c r="HV90" s="586"/>
      <c r="HW90" s="586"/>
      <c r="HX90" s="486"/>
      <c r="HY90" s="601"/>
      <c r="HZ90" s="305"/>
      <c r="IA90" s="602"/>
      <c r="IB90" s="486"/>
      <c r="IC90" s="586"/>
      <c r="ID90" s="586"/>
      <c r="IE90" s="586"/>
      <c r="IF90" s="486"/>
      <c r="IG90" s="601"/>
      <c r="IH90" s="305"/>
      <c r="II90" s="602"/>
      <c r="IJ90" s="486"/>
      <c r="IK90" s="586"/>
      <c r="IL90" s="586"/>
      <c r="IM90" s="586"/>
      <c r="IN90" s="486"/>
      <c r="IO90" s="601"/>
      <c r="IP90" s="305"/>
    </row>
    <row r="91" spans="1:250" s="244" customFormat="1" ht="14.1" hidden="1" customHeight="1">
      <c r="A91" s="306" t="s">
        <v>74</v>
      </c>
      <c r="B91" s="596">
        <v>17.158000000000001</v>
      </c>
      <c r="C91" s="603">
        <v>213.006</v>
      </c>
      <c r="D91" s="605"/>
      <c r="E91" s="603"/>
      <c r="F91" s="605">
        <v>1657.9080000000001</v>
      </c>
      <c r="G91" s="603"/>
      <c r="H91" s="561"/>
      <c r="I91" s="606">
        <v>1888.0720000000001</v>
      </c>
      <c r="J91" s="305"/>
      <c r="K91" s="602"/>
      <c r="L91" s="486"/>
      <c r="M91" s="586"/>
      <c r="N91" s="586"/>
      <c r="O91" s="586"/>
      <c r="P91" s="486"/>
      <c r="Q91" s="601"/>
      <c r="R91" s="305"/>
      <c r="S91" s="602"/>
      <c r="T91" s="486"/>
      <c r="U91" s="586"/>
      <c r="V91" s="586"/>
      <c r="W91" s="586"/>
      <c r="X91" s="486"/>
      <c r="Y91" s="601"/>
      <c r="Z91" s="305"/>
      <c r="AA91" s="602"/>
      <c r="AB91" s="486"/>
      <c r="AC91" s="586"/>
      <c r="AD91" s="586"/>
      <c r="AE91" s="586"/>
      <c r="AF91" s="486"/>
      <c r="AG91" s="601"/>
      <c r="AH91" s="305"/>
      <c r="AI91" s="602"/>
      <c r="AJ91" s="486"/>
      <c r="AK91" s="586"/>
      <c r="AL91" s="586"/>
      <c r="AM91" s="586"/>
      <c r="AN91" s="486"/>
      <c r="AO91" s="601"/>
      <c r="AP91" s="305"/>
      <c r="AQ91" s="602"/>
      <c r="AR91" s="486"/>
      <c r="AS91" s="586"/>
      <c r="AT91" s="586"/>
      <c r="AU91" s="586"/>
      <c r="AV91" s="486"/>
      <c r="AW91" s="601"/>
      <c r="AX91" s="305"/>
      <c r="AY91" s="602"/>
      <c r="AZ91" s="486"/>
      <c r="BA91" s="586"/>
      <c r="BB91" s="586"/>
      <c r="BC91" s="586"/>
      <c r="BD91" s="486"/>
      <c r="BE91" s="601"/>
      <c r="BF91" s="305"/>
      <c r="BG91" s="602"/>
      <c r="BH91" s="486"/>
      <c r="BI91" s="586"/>
      <c r="BJ91" s="586"/>
      <c r="BK91" s="586"/>
      <c r="BL91" s="486"/>
      <c r="BM91" s="601"/>
      <c r="BN91" s="305"/>
      <c r="BO91" s="602"/>
      <c r="BP91" s="486"/>
      <c r="BQ91" s="586"/>
      <c r="BR91" s="586"/>
      <c r="BS91" s="586"/>
      <c r="BT91" s="486"/>
      <c r="BU91" s="601"/>
      <c r="BV91" s="305"/>
      <c r="BW91" s="602"/>
      <c r="BX91" s="486"/>
      <c r="BY91" s="586"/>
      <c r="BZ91" s="586"/>
      <c r="CA91" s="586"/>
      <c r="CB91" s="486"/>
      <c r="CC91" s="601"/>
      <c r="CD91" s="305"/>
      <c r="CE91" s="602"/>
      <c r="CF91" s="486"/>
      <c r="CG91" s="586"/>
      <c r="CH91" s="586"/>
      <c r="CI91" s="586"/>
      <c r="CJ91" s="486"/>
      <c r="CK91" s="601"/>
      <c r="CL91" s="305"/>
      <c r="CM91" s="602"/>
      <c r="CN91" s="486"/>
      <c r="CO91" s="586"/>
      <c r="CP91" s="586"/>
      <c r="CQ91" s="586"/>
      <c r="CR91" s="486"/>
      <c r="CS91" s="601"/>
      <c r="CT91" s="305"/>
      <c r="CU91" s="602"/>
      <c r="CV91" s="486"/>
      <c r="CW91" s="586"/>
      <c r="CX91" s="586"/>
      <c r="CY91" s="586"/>
      <c r="CZ91" s="486"/>
      <c r="DA91" s="601"/>
      <c r="DB91" s="305"/>
      <c r="DC91" s="602"/>
      <c r="DD91" s="486"/>
      <c r="DE91" s="586"/>
      <c r="DF91" s="586"/>
      <c r="DG91" s="586"/>
      <c r="DH91" s="486"/>
      <c r="DI91" s="601"/>
      <c r="DJ91" s="305"/>
      <c r="DK91" s="602"/>
      <c r="DL91" s="486"/>
      <c r="DM91" s="586"/>
      <c r="DN91" s="586"/>
      <c r="DO91" s="586"/>
      <c r="DP91" s="486"/>
      <c r="DQ91" s="601"/>
      <c r="DR91" s="305"/>
      <c r="DS91" s="602"/>
      <c r="DT91" s="486"/>
      <c r="DU91" s="586"/>
      <c r="DV91" s="586"/>
      <c r="DW91" s="586"/>
      <c r="DX91" s="486"/>
      <c r="DY91" s="601"/>
      <c r="DZ91" s="305"/>
      <c r="EA91" s="602"/>
      <c r="EB91" s="486"/>
      <c r="EC91" s="586"/>
      <c r="ED91" s="586"/>
      <c r="EE91" s="586"/>
      <c r="EF91" s="486"/>
      <c r="EG91" s="601"/>
      <c r="EH91" s="305"/>
      <c r="EI91" s="602"/>
      <c r="EJ91" s="486"/>
      <c r="EK91" s="586"/>
      <c r="EL91" s="586"/>
      <c r="EM91" s="586"/>
      <c r="EN91" s="486"/>
      <c r="EO91" s="601"/>
      <c r="EP91" s="305"/>
      <c r="EQ91" s="602"/>
      <c r="ER91" s="486"/>
      <c r="ES91" s="586"/>
      <c r="ET91" s="586"/>
      <c r="EU91" s="586"/>
      <c r="EV91" s="486"/>
      <c r="EW91" s="601"/>
      <c r="EX91" s="305"/>
      <c r="EY91" s="602"/>
      <c r="EZ91" s="486"/>
      <c r="FA91" s="586"/>
      <c r="FB91" s="586"/>
      <c r="FC91" s="586"/>
      <c r="FD91" s="486"/>
      <c r="FE91" s="601"/>
      <c r="FF91" s="305"/>
      <c r="FG91" s="602"/>
      <c r="FH91" s="486"/>
      <c r="FI91" s="586"/>
      <c r="FJ91" s="586"/>
      <c r="FK91" s="586"/>
      <c r="FL91" s="486"/>
      <c r="FM91" s="601"/>
      <c r="FN91" s="305"/>
      <c r="FO91" s="602"/>
      <c r="FP91" s="486"/>
      <c r="FQ91" s="586"/>
      <c r="FR91" s="586"/>
      <c r="FS91" s="586"/>
      <c r="FT91" s="486"/>
      <c r="FU91" s="601"/>
      <c r="FV91" s="305"/>
      <c r="FW91" s="602"/>
      <c r="FX91" s="486"/>
      <c r="FY91" s="586"/>
      <c r="FZ91" s="586"/>
      <c r="GA91" s="586"/>
      <c r="GB91" s="486"/>
      <c r="GC91" s="601"/>
      <c r="GD91" s="305"/>
      <c r="GE91" s="602"/>
      <c r="GF91" s="486"/>
      <c r="GG91" s="586"/>
      <c r="GH91" s="586"/>
      <c r="GI91" s="586"/>
      <c r="GJ91" s="486"/>
      <c r="GK91" s="601"/>
      <c r="GL91" s="305"/>
      <c r="GM91" s="602"/>
      <c r="GN91" s="486"/>
      <c r="GO91" s="586"/>
      <c r="GP91" s="586"/>
      <c r="GQ91" s="586"/>
      <c r="GR91" s="486"/>
      <c r="GS91" s="601"/>
      <c r="GT91" s="305"/>
      <c r="GU91" s="602"/>
      <c r="GV91" s="486"/>
      <c r="GW91" s="586"/>
      <c r="GX91" s="586"/>
      <c r="GY91" s="586"/>
      <c r="GZ91" s="486"/>
      <c r="HA91" s="601"/>
      <c r="HB91" s="305"/>
      <c r="HC91" s="602"/>
      <c r="HD91" s="486"/>
      <c r="HE91" s="586"/>
      <c r="HF91" s="586"/>
      <c r="HG91" s="586"/>
      <c r="HH91" s="486"/>
      <c r="HI91" s="601"/>
      <c r="HJ91" s="305"/>
      <c r="HK91" s="602"/>
      <c r="HL91" s="486"/>
      <c r="HM91" s="586"/>
      <c r="HN91" s="586"/>
      <c r="HO91" s="586"/>
      <c r="HP91" s="486"/>
      <c r="HQ91" s="601"/>
      <c r="HR91" s="305"/>
      <c r="HS91" s="602"/>
      <c r="HT91" s="486"/>
      <c r="HU91" s="586"/>
      <c r="HV91" s="586"/>
      <c r="HW91" s="586"/>
      <c r="HX91" s="486"/>
      <c r="HY91" s="601"/>
      <c r="HZ91" s="305"/>
      <c r="IA91" s="602"/>
      <c r="IB91" s="486"/>
      <c r="IC91" s="586"/>
      <c r="ID91" s="586"/>
      <c r="IE91" s="586"/>
      <c r="IF91" s="486"/>
      <c r="IG91" s="601"/>
      <c r="IH91" s="305"/>
      <c r="II91" s="602"/>
      <c r="IJ91" s="486"/>
      <c r="IK91" s="586"/>
      <c r="IL91" s="586"/>
      <c r="IM91" s="586"/>
      <c r="IN91" s="486"/>
      <c r="IO91" s="601"/>
      <c r="IP91" s="305"/>
    </row>
    <row r="92" spans="1:250" s="244" customFormat="1" ht="14.1" hidden="1" customHeight="1">
      <c r="A92" s="306" t="s">
        <v>75</v>
      </c>
      <c r="B92" s="596">
        <v>16.849</v>
      </c>
      <c r="C92" s="603">
        <v>68.551000000000002</v>
      </c>
      <c r="D92" s="604"/>
      <c r="E92" s="603">
        <v>1776.8330000000001</v>
      </c>
      <c r="F92" s="605"/>
      <c r="G92" s="603"/>
      <c r="H92" s="603"/>
      <c r="I92" s="606">
        <v>1862.2330000000002</v>
      </c>
      <c r="J92" s="486"/>
      <c r="K92" s="602"/>
      <c r="L92" s="486"/>
      <c r="M92" s="586"/>
      <c r="N92" s="586"/>
      <c r="O92" s="586"/>
      <c r="P92" s="486"/>
      <c r="Q92" s="601"/>
      <c r="R92" s="486"/>
      <c r="S92" s="602"/>
      <c r="T92" s="486"/>
      <c r="U92" s="586"/>
      <c r="V92" s="586"/>
      <c r="W92" s="586"/>
      <c r="X92" s="486"/>
      <c r="Y92" s="601"/>
      <c r="Z92" s="486"/>
      <c r="AA92" s="602"/>
      <c r="AB92" s="486"/>
      <c r="AC92" s="586"/>
      <c r="AD92" s="586"/>
      <c r="AE92" s="586"/>
      <c r="AF92" s="486"/>
      <c r="AG92" s="601"/>
      <c r="AH92" s="486"/>
      <c r="AI92" s="602"/>
      <c r="AJ92" s="486"/>
      <c r="AK92" s="586"/>
      <c r="AL92" s="586"/>
      <c r="AM92" s="586"/>
      <c r="AN92" s="486"/>
      <c r="AO92" s="601"/>
      <c r="AP92" s="486"/>
      <c r="AQ92" s="602"/>
      <c r="AR92" s="486"/>
      <c r="AS92" s="586"/>
      <c r="AT92" s="586"/>
      <c r="AU92" s="586"/>
      <c r="AV92" s="486"/>
      <c r="AW92" s="601"/>
      <c r="AX92" s="486"/>
      <c r="AY92" s="602"/>
      <c r="AZ92" s="486"/>
      <c r="BA92" s="586"/>
      <c r="BB92" s="586"/>
      <c r="BC92" s="586"/>
      <c r="BD92" s="486"/>
      <c r="BE92" s="601"/>
      <c r="BF92" s="486"/>
      <c r="BG92" s="602"/>
      <c r="BH92" s="486"/>
      <c r="BI92" s="586"/>
      <c r="BJ92" s="586"/>
      <c r="BK92" s="586"/>
      <c r="BL92" s="486"/>
      <c r="BM92" s="601"/>
      <c r="BN92" s="486"/>
      <c r="BO92" s="602"/>
      <c r="BP92" s="486"/>
      <c r="BQ92" s="586"/>
      <c r="BR92" s="586"/>
      <c r="BS92" s="586"/>
      <c r="BT92" s="486"/>
      <c r="BU92" s="601"/>
      <c r="BV92" s="486"/>
      <c r="BW92" s="602"/>
      <c r="BX92" s="486"/>
      <c r="BY92" s="586"/>
      <c r="BZ92" s="586"/>
      <c r="CA92" s="586"/>
      <c r="CB92" s="486"/>
      <c r="CC92" s="601"/>
      <c r="CD92" s="486"/>
      <c r="CE92" s="602"/>
      <c r="CF92" s="486"/>
      <c r="CG92" s="586"/>
      <c r="CH92" s="586"/>
      <c r="CI92" s="586"/>
      <c r="CJ92" s="486"/>
      <c r="CK92" s="601"/>
      <c r="CL92" s="486"/>
      <c r="CM92" s="602"/>
      <c r="CN92" s="486"/>
      <c r="CO92" s="586"/>
      <c r="CP92" s="586"/>
      <c r="CQ92" s="586"/>
      <c r="CR92" s="486"/>
      <c r="CS92" s="601"/>
      <c r="CT92" s="486"/>
      <c r="CU92" s="602"/>
      <c r="CV92" s="486"/>
      <c r="CW92" s="586"/>
      <c r="CX92" s="586"/>
      <c r="CY92" s="586"/>
      <c r="CZ92" s="486"/>
      <c r="DA92" s="601"/>
      <c r="DB92" s="486"/>
      <c r="DC92" s="602"/>
      <c r="DD92" s="486"/>
      <c r="DE92" s="586"/>
      <c r="DF92" s="586"/>
      <c r="DG92" s="586"/>
      <c r="DH92" s="486"/>
      <c r="DI92" s="601"/>
      <c r="DJ92" s="486"/>
      <c r="DK92" s="602"/>
      <c r="DL92" s="486"/>
      <c r="DM92" s="586"/>
      <c r="DN92" s="586"/>
      <c r="DO92" s="586"/>
      <c r="DP92" s="486"/>
      <c r="DQ92" s="601"/>
      <c r="DR92" s="486"/>
      <c r="DS92" s="602"/>
      <c r="DT92" s="486"/>
      <c r="DU92" s="586"/>
      <c r="DV92" s="586"/>
      <c r="DW92" s="586"/>
      <c r="DX92" s="486"/>
      <c r="DY92" s="601"/>
      <c r="DZ92" s="486"/>
      <c r="EA92" s="602"/>
      <c r="EB92" s="486"/>
      <c r="EC92" s="586"/>
      <c r="ED92" s="586"/>
      <c r="EE92" s="586"/>
      <c r="EF92" s="486"/>
      <c r="EG92" s="601"/>
      <c r="EH92" s="486"/>
      <c r="EI92" s="602"/>
      <c r="EJ92" s="486"/>
      <c r="EK92" s="586"/>
      <c r="EL92" s="586"/>
      <c r="EM92" s="586"/>
      <c r="EN92" s="486"/>
      <c r="EO92" s="601"/>
      <c r="EP92" s="486"/>
      <c r="EQ92" s="602"/>
      <c r="ER92" s="486"/>
      <c r="ES92" s="586"/>
      <c r="ET92" s="586"/>
      <c r="EU92" s="586"/>
      <c r="EV92" s="486"/>
      <c r="EW92" s="601"/>
      <c r="EX92" s="486"/>
      <c r="EY92" s="602"/>
      <c r="EZ92" s="486"/>
      <c r="FA92" s="586"/>
      <c r="FB92" s="586"/>
      <c r="FC92" s="586"/>
      <c r="FD92" s="486"/>
      <c r="FE92" s="601"/>
      <c r="FF92" s="486"/>
      <c r="FG92" s="602"/>
      <c r="FH92" s="486"/>
      <c r="FI92" s="586"/>
      <c r="FJ92" s="586"/>
      <c r="FK92" s="586"/>
      <c r="FL92" s="486"/>
      <c r="FM92" s="601"/>
      <c r="FN92" s="486"/>
      <c r="FO92" s="602"/>
      <c r="FP92" s="486"/>
      <c r="FQ92" s="586"/>
      <c r="FR92" s="586"/>
      <c r="FS92" s="586"/>
      <c r="FT92" s="486"/>
      <c r="FU92" s="601"/>
      <c r="FV92" s="486"/>
      <c r="FW92" s="602"/>
      <c r="FX92" s="486"/>
      <c r="FY92" s="586"/>
      <c r="FZ92" s="586"/>
      <c r="GA92" s="586"/>
      <c r="GB92" s="486"/>
      <c r="GC92" s="601"/>
      <c r="GD92" s="486"/>
      <c r="GE92" s="602"/>
      <c r="GF92" s="486"/>
      <c r="GG92" s="586"/>
      <c r="GH92" s="586"/>
      <c r="GI92" s="586"/>
      <c r="GJ92" s="486"/>
      <c r="GK92" s="601"/>
      <c r="GL92" s="486"/>
      <c r="GM92" s="602"/>
      <c r="GN92" s="486"/>
      <c r="GO92" s="586"/>
      <c r="GP92" s="586"/>
      <c r="GQ92" s="586"/>
      <c r="GR92" s="486"/>
      <c r="GS92" s="601"/>
      <c r="GT92" s="486"/>
      <c r="GU92" s="602"/>
      <c r="GV92" s="486"/>
      <c r="GW92" s="586"/>
      <c r="GX92" s="586"/>
      <c r="GY92" s="586"/>
      <c r="GZ92" s="486"/>
      <c r="HA92" s="601"/>
      <c r="HB92" s="486"/>
      <c r="HC92" s="602"/>
      <c r="HD92" s="486"/>
      <c r="HE92" s="586"/>
      <c r="HF92" s="586"/>
      <c r="HG92" s="586"/>
      <c r="HH92" s="486"/>
      <c r="HI92" s="601"/>
      <c r="HJ92" s="486"/>
      <c r="HK92" s="602"/>
      <c r="HL92" s="486"/>
      <c r="HM92" s="586"/>
      <c r="HN92" s="586"/>
      <c r="HO92" s="586"/>
      <c r="HP92" s="486"/>
      <c r="HQ92" s="601"/>
      <c r="HR92" s="486"/>
      <c r="HS92" s="602"/>
      <c r="HT92" s="486"/>
      <c r="HU92" s="586"/>
      <c r="HV92" s="586"/>
      <c r="HW92" s="586"/>
      <c r="HX92" s="486"/>
      <c r="HY92" s="601"/>
      <c r="HZ92" s="486"/>
      <c r="IA92" s="602"/>
      <c r="IB92" s="486"/>
      <c r="IC92" s="586"/>
      <c r="ID92" s="586"/>
      <c r="IE92" s="586"/>
      <c r="IF92" s="486"/>
      <c r="IG92" s="601"/>
      <c r="IH92" s="486"/>
      <c r="II92" s="602"/>
      <c r="IJ92" s="486"/>
      <c r="IK92" s="586"/>
      <c r="IL92" s="586"/>
      <c r="IM92" s="586"/>
      <c r="IN92" s="486"/>
      <c r="IO92" s="601"/>
      <c r="IP92" s="486"/>
    </row>
    <row r="93" spans="1:250" s="244" customFormat="1" ht="14.1" customHeight="1">
      <c r="A93" s="306" t="s">
        <v>76</v>
      </c>
      <c r="B93" s="596">
        <v>20.593</v>
      </c>
      <c r="C93" s="596">
        <v>31.651</v>
      </c>
      <c r="D93" s="596">
        <v>49.048999999999999</v>
      </c>
      <c r="E93" s="603">
        <v>1811.7840000000001</v>
      </c>
      <c r="F93" s="605"/>
      <c r="G93" s="603"/>
      <c r="H93" s="603"/>
      <c r="I93" s="606">
        <v>1913.077</v>
      </c>
      <c r="J93" s="486"/>
      <c r="K93" s="602"/>
      <c r="L93" s="486"/>
      <c r="M93" s="586"/>
      <c r="N93" s="586"/>
      <c r="O93" s="586"/>
      <c r="P93" s="486"/>
      <c r="Q93" s="601"/>
      <c r="R93" s="486"/>
      <c r="S93" s="602"/>
      <c r="T93" s="486"/>
      <c r="U93" s="586"/>
      <c r="V93" s="586"/>
      <c r="W93" s="586"/>
      <c r="X93" s="486"/>
      <c r="Y93" s="601"/>
      <c r="Z93" s="486"/>
      <c r="AA93" s="602"/>
      <c r="AB93" s="486"/>
      <c r="AC93" s="586"/>
      <c r="AD93" s="586"/>
      <c r="AE93" s="586"/>
      <c r="AF93" s="486"/>
      <c r="AG93" s="601"/>
      <c r="AH93" s="486"/>
      <c r="AI93" s="602"/>
      <c r="AJ93" s="486"/>
      <c r="AK93" s="586"/>
      <c r="AL93" s="586"/>
      <c r="AM93" s="586"/>
      <c r="AN93" s="486"/>
      <c r="AO93" s="601"/>
      <c r="AP93" s="486"/>
      <c r="AQ93" s="602"/>
      <c r="AR93" s="486"/>
      <c r="AS93" s="586"/>
      <c r="AT93" s="586"/>
      <c r="AU93" s="586"/>
      <c r="AV93" s="486"/>
      <c r="AW93" s="601"/>
      <c r="AX93" s="486"/>
      <c r="AY93" s="602"/>
      <c r="AZ93" s="486"/>
      <c r="BA93" s="586"/>
      <c r="BB93" s="586"/>
      <c r="BC93" s="586"/>
      <c r="BD93" s="486"/>
      <c r="BE93" s="601"/>
      <c r="BF93" s="486"/>
      <c r="BG93" s="602"/>
      <c r="BH93" s="486"/>
      <c r="BI93" s="586"/>
      <c r="BJ93" s="586"/>
      <c r="BK93" s="586"/>
      <c r="BL93" s="486"/>
      <c r="BM93" s="601"/>
      <c r="BN93" s="486"/>
      <c r="BO93" s="602"/>
      <c r="BP93" s="486"/>
      <c r="BQ93" s="586"/>
      <c r="BR93" s="586"/>
      <c r="BS93" s="586"/>
      <c r="BT93" s="486"/>
      <c r="BU93" s="601"/>
      <c r="BV93" s="486"/>
      <c r="BW93" s="602"/>
      <c r="BX93" s="486"/>
      <c r="BY93" s="586"/>
      <c r="BZ93" s="586"/>
      <c r="CA93" s="586"/>
      <c r="CB93" s="486"/>
      <c r="CC93" s="601"/>
      <c r="CD93" s="486"/>
      <c r="CE93" s="602"/>
      <c r="CF93" s="486"/>
      <c r="CG93" s="586"/>
      <c r="CH93" s="586"/>
      <c r="CI93" s="586"/>
      <c r="CJ93" s="486"/>
      <c r="CK93" s="601"/>
      <c r="CL93" s="486"/>
      <c r="CM93" s="602"/>
      <c r="CN93" s="486"/>
      <c r="CO93" s="586"/>
      <c r="CP93" s="586"/>
      <c r="CQ93" s="586"/>
      <c r="CR93" s="486"/>
      <c r="CS93" s="601"/>
      <c r="CT93" s="486"/>
      <c r="CU93" s="602"/>
      <c r="CV93" s="486"/>
      <c r="CW93" s="586"/>
      <c r="CX93" s="586"/>
      <c r="CY93" s="586"/>
      <c r="CZ93" s="486"/>
      <c r="DA93" s="601"/>
      <c r="DB93" s="486"/>
      <c r="DC93" s="602"/>
      <c r="DD93" s="486"/>
      <c r="DE93" s="586"/>
      <c r="DF93" s="586"/>
      <c r="DG93" s="586"/>
      <c r="DH93" s="486"/>
      <c r="DI93" s="601"/>
      <c r="DJ93" s="486"/>
      <c r="DK93" s="602"/>
      <c r="DL93" s="486"/>
      <c r="DM93" s="586"/>
      <c r="DN93" s="586"/>
      <c r="DO93" s="586"/>
      <c r="DP93" s="486"/>
      <c r="DQ93" s="601"/>
      <c r="DR93" s="486"/>
      <c r="DS93" s="602"/>
      <c r="DT93" s="486"/>
      <c r="DU93" s="586"/>
      <c r="DV93" s="586"/>
      <c r="DW93" s="586"/>
      <c r="DX93" s="486"/>
      <c r="DY93" s="601"/>
      <c r="DZ93" s="486"/>
      <c r="EA93" s="602"/>
      <c r="EB93" s="486"/>
      <c r="EC93" s="586"/>
      <c r="ED93" s="586"/>
      <c r="EE93" s="586"/>
      <c r="EF93" s="486"/>
      <c r="EG93" s="601"/>
      <c r="EH93" s="486"/>
      <c r="EI93" s="602"/>
      <c r="EJ93" s="486"/>
      <c r="EK93" s="586"/>
      <c r="EL93" s="586"/>
      <c r="EM93" s="586"/>
      <c r="EN93" s="486"/>
      <c r="EO93" s="601"/>
      <c r="EP93" s="486"/>
      <c r="EQ93" s="602"/>
      <c r="ER93" s="486"/>
      <c r="ES93" s="586"/>
      <c r="ET93" s="586"/>
      <c r="EU93" s="586"/>
      <c r="EV93" s="486"/>
      <c r="EW93" s="601"/>
      <c r="EX93" s="486"/>
      <c r="EY93" s="602"/>
      <c r="EZ93" s="486"/>
      <c r="FA93" s="586"/>
      <c r="FB93" s="586"/>
      <c r="FC93" s="586"/>
      <c r="FD93" s="486"/>
      <c r="FE93" s="601"/>
      <c r="FF93" s="486"/>
      <c r="FG93" s="602"/>
      <c r="FH93" s="486"/>
      <c r="FI93" s="586"/>
      <c r="FJ93" s="586"/>
      <c r="FK93" s="586"/>
      <c r="FL93" s="486"/>
      <c r="FM93" s="601"/>
      <c r="FN93" s="486"/>
      <c r="FO93" s="602"/>
      <c r="FP93" s="486"/>
      <c r="FQ93" s="586"/>
      <c r="FR93" s="586"/>
      <c r="FS93" s="586"/>
      <c r="FT93" s="486"/>
      <c r="FU93" s="601"/>
      <c r="FV93" s="486"/>
      <c r="FW93" s="602"/>
      <c r="FX93" s="486"/>
      <c r="FY93" s="586"/>
      <c r="FZ93" s="586"/>
      <c r="GA93" s="586"/>
      <c r="GB93" s="486"/>
      <c r="GC93" s="601"/>
      <c r="GD93" s="486"/>
      <c r="GE93" s="602"/>
      <c r="GF93" s="486"/>
      <c r="GG93" s="586"/>
      <c r="GH93" s="586"/>
      <c r="GI93" s="586"/>
      <c r="GJ93" s="486"/>
      <c r="GK93" s="601"/>
      <c r="GL93" s="486"/>
      <c r="GM93" s="602"/>
      <c r="GN93" s="486"/>
      <c r="GO93" s="586"/>
      <c r="GP93" s="586"/>
      <c r="GQ93" s="586"/>
      <c r="GR93" s="486"/>
      <c r="GS93" s="601"/>
      <c r="GT93" s="486"/>
      <c r="GU93" s="602"/>
      <c r="GV93" s="486"/>
      <c r="GW93" s="586"/>
      <c r="GX93" s="586"/>
      <c r="GY93" s="586"/>
      <c r="GZ93" s="486"/>
      <c r="HA93" s="601"/>
      <c r="HB93" s="486"/>
      <c r="HC93" s="602"/>
      <c r="HD93" s="486"/>
      <c r="HE93" s="586"/>
      <c r="HF93" s="586"/>
      <c r="HG93" s="586"/>
      <c r="HH93" s="486"/>
      <c r="HI93" s="601"/>
      <c r="HJ93" s="486"/>
      <c r="HK93" s="602"/>
      <c r="HL93" s="486"/>
      <c r="HM93" s="586"/>
      <c r="HN93" s="586"/>
      <c r="HO93" s="586"/>
      <c r="HP93" s="486"/>
      <c r="HQ93" s="601"/>
      <c r="HR93" s="486"/>
      <c r="HS93" s="602"/>
      <c r="HT93" s="486"/>
      <c r="HU93" s="586"/>
      <c r="HV93" s="586"/>
      <c r="HW93" s="586"/>
      <c r="HX93" s="486"/>
      <c r="HY93" s="601"/>
      <c r="HZ93" s="486"/>
      <c r="IA93" s="602"/>
      <c r="IB93" s="486"/>
      <c r="IC93" s="586"/>
      <c r="ID93" s="586"/>
      <c r="IE93" s="586"/>
      <c r="IF93" s="486"/>
      <c r="IG93" s="601"/>
      <c r="IH93" s="486"/>
      <c r="II93" s="602"/>
      <c r="IJ93" s="486"/>
      <c r="IK93" s="586"/>
      <c r="IL93" s="586"/>
      <c r="IM93" s="586"/>
      <c r="IN93" s="486"/>
      <c r="IO93" s="601"/>
      <c r="IP93" s="486"/>
    </row>
    <row r="94" spans="1:250" s="244" customFormat="1" ht="14.1" customHeight="1">
      <c r="A94" s="306" t="s">
        <v>77</v>
      </c>
      <c r="B94" s="596">
        <v>18.611999999999998</v>
      </c>
      <c r="C94" s="596">
        <v>26.279</v>
      </c>
      <c r="D94" s="596">
        <v>47.636000000000003</v>
      </c>
      <c r="E94" s="603">
        <v>1712.5590000000002</v>
      </c>
      <c r="F94" s="605"/>
      <c r="G94" s="603"/>
      <c r="H94" s="603"/>
      <c r="I94" s="606">
        <v>1805.0860000000002</v>
      </c>
      <c r="J94" s="486"/>
      <c r="K94" s="602"/>
      <c r="L94" s="486"/>
      <c r="M94" s="586"/>
      <c r="N94" s="586"/>
      <c r="O94" s="586"/>
      <c r="P94" s="486"/>
      <c r="Q94" s="601"/>
      <c r="R94" s="486"/>
      <c r="S94" s="602"/>
      <c r="T94" s="486"/>
      <c r="U94" s="586"/>
      <c r="V94" s="586"/>
      <c r="W94" s="586"/>
      <c r="X94" s="486"/>
      <c r="Y94" s="601"/>
      <c r="Z94" s="486"/>
      <c r="AA94" s="602"/>
      <c r="AB94" s="486"/>
      <c r="AC94" s="586"/>
      <c r="AD94" s="586"/>
      <c r="AE94" s="586"/>
      <c r="AF94" s="486"/>
      <c r="AG94" s="601"/>
      <c r="AH94" s="486"/>
      <c r="AI94" s="602"/>
      <c r="AJ94" s="486"/>
      <c r="AK94" s="586"/>
      <c r="AL94" s="586"/>
      <c r="AM94" s="586"/>
      <c r="AN94" s="486"/>
      <c r="AO94" s="601"/>
      <c r="AP94" s="486"/>
      <c r="AQ94" s="602"/>
      <c r="AR94" s="486"/>
      <c r="AS94" s="586"/>
      <c r="AT94" s="586"/>
      <c r="AU94" s="586"/>
      <c r="AV94" s="486"/>
      <c r="AW94" s="601"/>
      <c r="AX94" s="486"/>
      <c r="AY94" s="602"/>
      <c r="AZ94" s="486"/>
      <c r="BA94" s="586"/>
      <c r="BB94" s="586"/>
      <c r="BC94" s="586"/>
      <c r="BD94" s="486"/>
      <c r="BE94" s="601"/>
      <c r="BF94" s="486"/>
      <c r="BG94" s="602"/>
      <c r="BH94" s="486"/>
      <c r="BI94" s="586"/>
      <c r="BJ94" s="586"/>
      <c r="BK94" s="586"/>
      <c r="BL94" s="486"/>
      <c r="BM94" s="601"/>
      <c r="BN94" s="486"/>
      <c r="BO94" s="602"/>
      <c r="BP94" s="486"/>
      <c r="BQ94" s="586"/>
      <c r="BR94" s="586"/>
      <c r="BS94" s="586"/>
      <c r="BT94" s="486"/>
      <c r="BU94" s="601"/>
      <c r="BV94" s="486"/>
      <c r="BW94" s="602"/>
      <c r="BX94" s="486"/>
      <c r="BY94" s="586"/>
      <c r="BZ94" s="586"/>
      <c r="CA94" s="586"/>
      <c r="CB94" s="486"/>
      <c r="CC94" s="601"/>
      <c r="CD94" s="486"/>
      <c r="CE94" s="602"/>
      <c r="CF94" s="486"/>
      <c r="CG94" s="586"/>
      <c r="CH94" s="586"/>
      <c r="CI94" s="586"/>
      <c r="CJ94" s="486"/>
      <c r="CK94" s="601"/>
      <c r="CL94" s="486"/>
      <c r="CM94" s="602"/>
      <c r="CN94" s="486"/>
      <c r="CO94" s="586"/>
      <c r="CP94" s="586"/>
      <c r="CQ94" s="586"/>
      <c r="CR94" s="486"/>
      <c r="CS94" s="601"/>
      <c r="CT94" s="486"/>
      <c r="CU94" s="602"/>
      <c r="CV94" s="486"/>
      <c r="CW94" s="586"/>
      <c r="CX94" s="586"/>
      <c r="CY94" s="586"/>
      <c r="CZ94" s="486"/>
      <c r="DA94" s="601"/>
      <c r="DB94" s="486"/>
      <c r="DC94" s="602"/>
      <c r="DD94" s="486"/>
      <c r="DE94" s="586"/>
      <c r="DF94" s="586"/>
      <c r="DG94" s="586"/>
      <c r="DH94" s="486"/>
      <c r="DI94" s="601"/>
      <c r="DJ94" s="486"/>
      <c r="DK94" s="602"/>
      <c r="DL94" s="486"/>
      <c r="DM94" s="586"/>
      <c r="DN94" s="586"/>
      <c r="DO94" s="586"/>
      <c r="DP94" s="486"/>
      <c r="DQ94" s="601"/>
      <c r="DR94" s="486"/>
      <c r="DS94" s="602"/>
      <c r="DT94" s="486"/>
      <c r="DU94" s="586"/>
      <c r="DV94" s="586"/>
      <c r="DW94" s="586"/>
      <c r="DX94" s="486"/>
      <c r="DY94" s="601"/>
      <c r="DZ94" s="486"/>
      <c r="EA94" s="602"/>
      <c r="EB94" s="486"/>
      <c r="EC94" s="586"/>
      <c r="ED94" s="586"/>
      <c r="EE94" s="586"/>
      <c r="EF94" s="486"/>
      <c r="EG94" s="601"/>
      <c r="EH94" s="486"/>
      <c r="EI94" s="602"/>
      <c r="EJ94" s="486"/>
      <c r="EK94" s="586"/>
      <c r="EL94" s="586"/>
      <c r="EM94" s="586"/>
      <c r="EN94" s="486"/>
      <c r="EO94" s="601"/>
      <c r="EP94" s="486"/>
      <c r="EQ94" s="602"/>
      <c r="ER94" s="486"/>
      <c r="ES94" s="586"/>
      <c r="ET94" s="586"/>
      <c r="EU94" s="586"/>
      <c r="EV94" s="486"/>
      <c r="EW94" s="601"/>
      <c r="EX94" s="486"/>
      <c r="EY94" s="602"/>
      <c r="EZ94" s="486"/>
      <c r="FA94" s="586"/>
      <c r="FB94" s="586"/>
      <c r="FC94" s="586"/>
      <c r="FD94" s="486"/>
      <c r="FE94" s="601"/>
      <c r="FF94" s="486"/>
      <c r="FG94" s="602"/>
      <c r="FH94" s="486"/>
      <c r="FI94" s="586"/>
      <c r="FJ94" s="586"/>
      <c r="FK94" s="586"/>
      <c r="FL94" s="486"/>
      <c r="FM94" s="601"/>
      <c r="FN94" s="486"/>
      <c r="FO94" s="602"/>
      <c r="FP94" s="486"/>
      <c r="FQ94" s="586"/>
      <c r="FR94" s="586"/>
      <c r="FS94" s="586"/>
      <c r="FT94" s="486"/>
      <c r="FU94" s="601"/>
      <c r="FV94" s="486"/>
      <c r="FW94" s="602"/>
      <c r="FX94" s="486"/>
      <c r="FY94" s="586"/>
      <c r="FZ94" s="586"/>
      <c r="GA94" s="586"/>
      <c r="GB94" s="486"/>
      <c r="GC94" s="601"/>
      <c r="GD94" s="486"/>
      <c r="GE94" s="602"/>
      <c r="GF94" s="486"/>
      <c r="GG94" s="586"/>
      <c r="GH94" s="586"/>
      <c r="GI94" s="586"/>
      <c r="GJ94" s="486"/>
      <c r="GK94" s="601"/>
      <c r="GL94" s="486"/>
      <c r="GM94" s="602"/>
      <c r="GN94" s="486"/>
      <c r="GO94" s="586"/>
      <c r="GP94" s="586"/>
      <c r="GQ94" s="586"/>
      <c r="GR94" s="486"/>
      <c r="GS94" s="601"/>
      <c r="GT94" s="486"/>
      <c r="GU94" s="602"/>
      <c r="GV94" s="486"/>
      <c r="GW94" s="586"/>
      <c r="GX94" s="586"/>
      <c r="GY94" s="586"/>
      <c r="GZ94" s="486"/>
      <c r="HA94" s="601"/>
      <c r="HB94" s="486"/>
      <c r="HC94" s="602"/>
      <c r="HD94" s="486"/>
      <c r="HE94" s="586"/>
      <c r="HF94" s="586"/>
      <c r="HG94" s="586"/>
      <c r="HH94" s="486"/>
      <c r="HI94" s="601"/>
      <c r="HJ94" s="486"/>
      <c r="HK94" s="602"/>
      <c r="HL94" s="486"/>
      <c r="HM94" s="586"/>
      <c r="HN94" s="586"/>
      <c r="HO94" s="586"/>
      <c r="HP94" s="486"/>
      <c r="HQ94" s="601"/>
      <c r="HR94" s="486"/>
      <c r="HS94" s="602"/>
      <c r="HT94" s="486"/>
      <c r="HU94" s="586"/>
      <c r="HV94" s="586"/>
      <c r="HW94" s="586"/>
      <c r="HX94" s="486"/>
      <c r="HY94" s="601"/>
      <c r="HZ94" s="486"/>
      <c r="IA94" s="602"/>
      <c r="IB94" s="486"/>
      <c r="IC94" s="586"/>
      <c r="ID94" s="586"/>
      <c r="IE94" s="586"/>
      <c r="IF94" s="486"/>
      <c r="IG94" s="601"/>
      <c r="IH94" s="486"/>
      <c r="II94" s="602"/>
      <c r="IJ94" s="486"/>
      <c r="IK94" s="586"/>
      <c r="IL94" s="586"/>
      <c r="IM94" s="586"/>
      <c r="IN94" s="486"/>
      <c r="IO94" s="601"/>
      <c r="IP94" s="486"/>
    </row>
    <row r="95" spans="1:250" s="244" customFormat="1" ht="14.1" customHeight="1">
      <c r="A95" s="306" t="s">
        <v>78</v>
      </c>
      <c r="B95" s="596">
        <v>16.103000000000002</v>
      </c>
      <c r="C95" s="596">
        <v>25.591000000000001</v>
      </c>
      <c r="D95" s="596">
        <v>53.207000000000001</v>
      </c>
      <c r="E95" s="603">
        <v>1759.0939999999998</v>
      </c>
      <c r="F95" s="605"/>
      <c r="G95" s="603"/>
      <c r="H95" s="603"/>
      <c r="I95" s="606">
        <v>1853.9949999999999</v>
      </c>
      <c r="J95" s="486"/>
      <c r="K95" s="602"/>
      <c r="L95" s="486"/>
      <c r="M95" s="586"/>
      <c r="N95" s="586"/>
      <c r="O95" s="586"/>
      <c r="P95" s="486"/>
      <c r="Q95" s="601"/>
      <c r="R95" s="486"/>
      <c r="S95" s="602"/>
      <c r="T95" s="486"/>
      <c r="U95" s="586"/>
      <c r="V95" s="586"/>
      <c r="W95" s="586"/>
      <c r="X95" s="486"/>
      <c r="Y95" s="601"/>
      <c r="Z95" s="486"/>
      <c r="AA95" s="602"/>
      <c r="AB95" s="486"/>
      <c r="AC95" s="586"/>
      <c r="AD95" s="586"/>
      <c r="AE95" s="586"/>
      <c r="AF95" s="486"/>
      <c r="AG95" s="601"/>
      <c r="AH95" s="486"/>
      <c r="AI95" s="602"/>
      <c r="AJ95" s="486"/>
      <c r="AK95" s="586"/>
      <c r="AL95" s="586"/>
      <c r="AM95" s="586"/>
      <c r="AN95" s="486"/>
      <c r="AO95" s="601"/>
      <c r="AP95" s="486"/>
      <c r="AQ95" s="602"/>
      <c r="AR95" s="486"/>
      <c r="AS95" s="586"/>
      <c r="AT95" s="586"/>
      <c r="AU95" s="586"/>
      <c r="AV95" s="486"/>
      <c r="AW95" s="601"/>
      <c r="AX95" s="486"/>
      <c r="AY95" s="602"/>
      <c r="AZ95" s="486"/>
      <c r="BA95" s="586"/>
      <c r="BB95" s="586"/>
      <c r="BC95" s="586"/>
      <c r="BD95" s="486"/>
      <c r="BE95" s="601"/>
      <c r="BF95" s="486"/>
      <c r="BG95" s="602"/>
      <c r="BH95" s="486"/>
      <c r="BI95" s="586"/>
      <c r="BJ95" s="586"/>
      <c r="BK95" s="586"/>
      <c r="BL95" s="486"/>
      <c r="BM95" s="601"/>
      <c r="BN95" s="486"/>
      <c r="BO95" s="602"/>
      <c r="BP95" s="486"/>
      <c r="BQ95" s="586"/>
      <c r="BR95" s="586"/>
      <c r="BS95" s="586"/>
      <c r="BT95" s="486"/>
      <c r="BU95" s="601"/>
      <c r="BV95" s="486"/>
      <c r="BW95" s="602"/>
      <c r="BX95" s="486"/>
      <c r="BY95" s="586"/>
      <c r="BZ95" s="586"/>
      <c r="CA95" s="586"/>
      <c r="CB95" s="486"/>
      <c r="CC95" s="601"/>
      <c r="CD95" s="486"/>
      <c r="CE95" s="602"/>
      <c r="CF95" s="486"/>
      <c r="CG95" s="586"/>
      <c r="CH95" s="586"/>
      <c r="CI95" s="586"/>
      <c r="CJ95" s="486"/>
      <c r="CK95" s="601"/>
      <c r="CL95" s="486"/>
      <c r="CM95" s="602"/>
      <c r="CN95" s="486"/>
      <c r="CO95" s="586"/>
      <c r="CP95" s="586"/>
      <c r="CQ95" s="586"/>
      <c r="CR95" s="486"/>
      <c r="CS95" s="601"/>
      <c r="CT95" s="486"/>
      <c r="CU95" s="602"/>
      <c r="CV95" s="486"/>
      <c r="CW95" s="586"/>
      <c r="CX95" s="586"/>
      <c r="CY95" s="586"/>
      <c r="CZ95" s="486"/>
      <c r="DA95" s="601"/>
      <c r="DB95" s="486"/>
      <c r="DC95" s="602"/>
      <c r="DD95" s="486"/>
      <c r="DE95" s="586"/>
      <c r="DF95" s="586"/>
      <c r="DG95" s="586"/>
      <c r="DH95" s="486"/>
      <c r="DI95" s="601"/>
      <c r="DJ95" s="486"/>
      <c r="DK95" s="602"/>
      <c r="DL95" s="486"/>
      <c r="DM95" s="586"/>
      <c r="DN95" s="586"/>
      <c r="DO95" s="586"/>
      <c r="DP95" s="486"/>
      <c r="DQ95" s="601"/>
      <c r="DR95" s="486"/>
      <c r="DS95" s="602"/>
      <c r="DT95" s="486"/>
      <c r="DU95" s="586"/>
      <c r="DV95" s="586"/>
      <c r="DW95" s="586"/>
      <c r="DX95" s="486"/>
      <c r="DY95" s="601"/>
      <c r="DZ95" s="486"/>
      <c r="EA95" s="602"/>
      <c r="EB95" s="486"/>
      <c r="EC95" s="586"/>
      <c r="ED95" s="586"/>
      <c r="EE95" s="586"/>
      <c r="EF95" s="486"/>
      <c r="EG95" s="601"/>
      <c r="EH95" s="486"/>
      <c r="EI95" s="602"/>
      <c r="EJ95" s="486"/>
      <c r="EK95" s="586"/>
      <c r="EL95" s="586"/>
      <c r="EM95" s="586"/>
      <c r="EN95" s="486"/>
      <c r="EO95" s="601"/>
      <c r="EP95" s="486"/>
      <c r="EQ95" s="602"/>
      <c r="ER95" s="486"/>
      <c r="ES95" s="586"/>
      <c r="ET95" s="586"/>
      <c r="EU95" s="586"/>
      <c r="EV95" s="486"/>
      <c r="EW95" s="601"/>
      <c r="EX95" s="486"/>
      <c r="EY95" s="602"/>
      <c r="EZ95" s="486"/>
      <c r="FA95" s="586"/>
      <c r="FB95" s="586"/>
      <c r="FC95" s="586"/>
      <c r="FD95" s="486"/>
      <c r="FE95" s="601"/>
      <c r="FF95" s="486"/>
      <c r="FG95" s="602"/>
      <c r="FH95" s="486"/>
      <c r="FI95" s="586"/>
      <c r="FJ95" s="586"/>
      <c r="FK95" s="586"/>
      <c r="FL95" s="486"/>
      <c r="FM95" s="601"/>
      <c r="FN95" s="486"/>
      <c r="FO95" s="602"/>
      <c r="FP95" s="486"/>
      <c r="FQ95" s="586"/>
      <c r="FR95" s="586"/>
      <c r="FS95" s="586"/>
      <c r="FT95" s="486"/>
      <c r="FU95" s="601"/>
      <c r="FV95" s="486"/>
      <c r="FW95" s="602"/>
      <c r="FX95" s="486"/>
      <c r="FY95" s="586"/>
      <c r="FZ95" s="586"/>
      <c r="GA95" s="586"/>
      <c r="GB95" s="486"/>
      <c r="GC95" s="601"/>
      <c r="GD95" s="486"/>
      <c r="GE95" s="602"/>
      <c r="GF95" s="486"/>
      <c r="GG95" s="586"/>
      <c r="GH95" s="586"/>
      <c r="GI95" s="586"/>
      <c r="GJ95" s="486"/>
      <c r="GK95" s="601"/>
      <c r="GL95" s="486"/>
      <c r="GM95" s="602"/>
      <c r="GN95" s="486"/>
      <c r="GO95" s="586"/>
      <c r="GP95" s="586"/>
      <c r="GQ95" s="586"/>
      <c r="GR95" s="486"/>
      <c r="GS95" s="601"/>
      <c r="GT95" s="486"/>
      <c r="GU95" s="602"/>
      <c r="GV95" s="486"/>
      <c r="GW95" s="586"/>
      <c r="GX95" s="586"/>
      <c r="GY95" s="586"/>
      <c r="GZ95" s="486"/>
      <c r="HA95" s="601"/>
      <c r="HB95" s="486"/>
      <c r="HC95" s="602"/>
      <c r="HD95" s="486"/>
      <c r="HE95" s="586"/>
      <c r="HF95" s="586"/>
      <c r="HG95" s="586"/>
      <c r="HH95" s="486"/>
      <c r="HI95" s="601"/>
      <c r="HJ95" s="486"/>
      <c r="HK95" s="602"/>
      <c r="HL95" s="486"/>
      <c r="HM95" s="586"/>
      <c r="HN95" s="586"/>
      <c r="HO95" s="586"/>
      <c r="HP95" s="486"/>
      <c r="HQ95" s="601"/>
      <c r="HR95" s="486"/>
      <c r="HS95" s="602"/>
      <c r="HT95" s="486"/>
      <c r="HU95" s="586"/>
      <c r="HV95" s="586"/>
      <c r="HW95" s="586"/>
      <c r="HX95" s="486"/>
      <c r="HY95" s="601"/>
      <c r="HZ95" s="486"/>
      <c r="IA95" s="602"/>
      <c r="IB95" s="486"/>
      <c r="IC95" s="586"/>
      <c r="ID95" s="586"/>
      <c r="IE95" s="586"/>
      <c r="IF95" s="486"/>
      <c r="IG95" s="601"/>
      <c r="IH95" s="486"/>
      <c r="II95" s="602"/>
      <c r="IJ95" s="486"/>
      <c r="IK95" s="586"/>
      <c r="IL95" s="586"/>
      <c r="IM95" s="586"/>
      <c r="IN95" s="486"/>
      <c r="IO95" s="601"/>
      <c r="IP95" s="486"/>
    </row>
    <row r="96" spans="1:250" s="244" customFormat="1" ht="14.1" customHeight="1">
      <c r="A96" s="306" t="s">
        <v>79</v>
      </c>
      <c r="B96" s="596">
        <v>10.457000000000001</v>
      </c>
      <c r="C96" s="596">
        <v>24.167000000000002</v>
      </c>
      <c r="D96" s="596">
        <v>57.212000000000003</v>
      </c>
      <c r="E96" s="603">
        <v>1633.6819999999998</v>
      </c>
      <c r="F96" s="605"/>
      <c r="G96" s="603"/>
      <c r="H96" s="603"/>
      <c r="I96" s="606">
        <v>1725.518</v>
      </c>
      <c r="J96" s="486"/>
      <c r="K96" s="602"/>
      <c r="L96" s="486"/>
      <c r="M96" s="586"/>
      <c r="N96" s="586"/>
      <c r="O96" s="586"/>
      <c r="P96" s="486"/>
      <c r="Q96" s="601"/>
      <c r="R96" s="486"/>
      <c r="S96" s="602"/>
      <c r="T96" s="486"/>
      <c r="U96" s="586"/>
      <c r="V96" s="586"/>
      <c r="W96" s="586"/>
      <c r="X96" s="486"/>
      <c r="Y96" s="601"/>
      <c r="Z96" s="486"/>
      <c r="AA96" s="602"/>
      <c r="AB96" s="486"/>
      <c r="AC96" s="586"/>
      <c r="AD96" s="586"/>
      <c r="AE96" s="586"/>
      <c r="AF96" s="486"/>
      <c r="AG96" s="601"/>
      <c r="AH96" s="486"/>
      <c r="AI96" s="602"/>
      <c r="AJ96" s="486"/>
      <c r="AK96" s="586"/>
      <c r="AL96" s="586"/>
      <c r="AM96" s="586"/>
      <c r="AN96" s="486"/>
      <c r="AO96" s="601"/>
      <c r="AP96" s="486"/>
      <c r="AQ96" s="602"/>
      <c r="AR96" s="486"/>
      <c r="AS96" s="586"/>
      <c r="AT96" s="586"/>
      <c r="AU96" s="586"/>
      <c r="AV96" s="486"/>
      <c r="AW96" s="601"/>
      <c r="AX96" s="486"/>
      <c r="AY96" s="602"/>
      <c r="AZ96" s="486"/>
      <c r="BA96" s="586"/>
      <c r="BB96" s="586"/>
      <c r="BC96" s="586"/>
      <c r="BD96" s="486"/>
      <c r="BE96" s="601"/>
      <c r="BF96" s="486"/>
      <c r="BG96" s="602"/>
      <c r="BH96" s="486"/>
      <c r="BI96" s="586"/>
      <c r="BJ96" s="586"/>
      <c r="BK96" s="586"/>
      <c r="BL96" s="486"/>
      <c r="BM96" s="601"/>
      <c r="BN96" s="486"/>
      <c r="BO96" s="602"/>
      <c r="BP96" s="486"/>
      <c r="BQ96" s="586"/>
      <c r="BR96" s="586"/>
      <c r="BS96" s="586"/>
      <c r="BT96" s="486"/>
      <c r="BU96" s="601"/>
      <c r="BV96" s="486"/>
      <c r="BW96" s="602"/>
      <c r="BX96" s="486"/>
      <c r="BY96" s="586"/>
      <c r="BZ96" s="586"/>
      <c r="CA96" s="586"/>
      <c r="CB96" s="486"/>
      <c r="CC96" s="601"/>
      <c r="CD96" s="486"/>
      <c r="CE96" s="602"/>
      <c r="CF96" s="486"/>
      <c r="CG96" s="586"/>
      <c r="CH96" s="586"/>
      <c r="CI96" s="586"/>
      <c r="CJ96" s="486"/>
      <c r="CK96" s="601"/>
      <c r="CL96" s="486"/>
      <c r="CM96" s="602"/>
      <c r="CN96" s="486"/>
      <c r="CO96" s="586"/>
      <c r="CP96" s="586"/>
      <c r="CQ96" s="586"/>
      <c r="CR96" s="486"/>
      <c r="CS96" s="601"/>
      <c r="CT96" s="486"/>
      <c r="CU96" s="602"/>
      <c r="CV96" s="486"/>
      <c r="CW96" s="586"/>
      <c r="CX96" s="586"/>
      <c r="CY96" s="586"/>
      <c r="CZ96" s="486"/>
      <c r="DA96" s="601"/>
      <c r="DB96" s="486"/>
      <c r="DC96" s="602"/>
      <c r="DD96" s="486"/>
      <c r="DE96" s="586"/>
      <c r="DF96" s="586"/>
      <c r="DG96" s="586"/>
      <c r="DH96" s="486"/>
      <c r="DI96" s="601"/>
      <c r="DJ96" s="486"/>
      <c r="DK96" s="602"/>
      <c r="DL96" s="486"/>
      <c r="DM96" s="586"/>
      <c r="DN96" s="586"/>
      <c r="DO96" s="586"/>
      <c r="DP96" s="486"/>
      <c r="DQ96" s="601"/>
      <c r="DR96" s="486"/>
      <c r="DS96" s="602"/>
      <c r="DT96" s="486"/>
      <c r="DU96" s="586"/>
      <c r="DV96" s="586"/>
      <c r="DW96" s="586"/>
      <c r="DX96" s="486"/>
      <c r="DY96" s="601"/>
      <c r="DZ96" s="486"/>
      <c r="EA96" s="602"/>
      <c r="EB96" s="486"/>
      <c r="EC96" s="586"/>
      <c r="ED96" s="586"/>
      <c r="EE96" s="586"/>
      <c r="EF96" s="486"/>
      <c r="EG96" s="601"/>
      <c r="EH96" s="486"/>
      <c r="EI96" s="602"/>
      <c r="EJ96" s="486"/>
      <c r="EK96" s="586"/>
      <c r="EL96" s="586"/>
      <c r="EM96" s="586"/>
      <c r="EN96" s="486"/>
      <c r="EO96" s="601"/>
      <c r="EP96" s="486"/>
      <c r="EQ96" s="602"/>
      <c r="ER96" s="486"/>
      <c r="ES96" s="586"/>
      <c r="ET96" s="586"/>
      <c r="EU96" s="586"/>
      <c r="EV96" s="486"/>
      <c r="EW96" s="601"/>
      <c r="EX96" s="486"/>
      <c r="EY96" s="602"/>
      <c r="EZ96" s="486"/>
      <c r="FA96" s="586"/>
      <c r="FB96" s="586"/>
      <c r="FC96" s="586"/>
      <c r="FD96" s="486"/>
      <c r="FE96" s="601"/>
      <c r="FF96" s="486"/>
      <c r="FG96" s="602"/>
      <c r="FH96" s="486"/>
      <c r="FI96" s="586"/>
      <c r="FJ96" s="586"/>
      <c r="FK96" s="586"/>
      <c r="FL96" s="486"/>
      <c r="FM96" s="601"/>
      <c r="FN96" s="486"/>
      <c r="FO96" s="602"/>
      <c r="FP96" s="486"/>
      <c r="FQ96" s="586"/>
      <c r="FR96" s="586"/>
      <c r="FS96" s="586"/>
      <c r="FT96" s="486"/>
      <c r="FU96" s="601"/>
      <c r="FV96" s="486"/>
      <c r="FW96" s="602"/>
      <c r="FX96" s="486"/>
      <c r="FY96" s="586"/>
      <c r="FZ96" s="586"/>
      <c r="GA96" s="586"/>
      <c r="GB96" s="486"/>
      <c r="GC96" s="601"/>
      <c r="GD96" s="486"/>
      <c r="GE96" s="602"/>
      <c r="GF96" s="486"/>
      <c r="GG96" s="586"/>
      <c r="GH96" s="586"/>
      <c r="GI96" s="586"/>
      <c r="GJ96" s="486"/>
      <c r="GK96" s="601"/>
      <c r="GL96" s="486"/>
      <c r="GM96" s="602"/>
      <c r="GN96" s="486"/>
      <c r="GO96" s="586"/>
      <c r="GP96" s="586"/>
      <c r="GQ96" s="586"/>
      <c r="GR96" s="486"/>
      <c r="GS96" s="601"/>
      <c r="GT96" s="486"/>
      <c r="GU96" s="602"/>
      <c r="GV96" s="486"/>
      <c r="GW96" s="586"/>
      <c r="GX96" s="586"/>
      <c r="GY96" s="586"/>
      <c r="GZ96" s="486"/>
      <c r="HA96" s="601"/>
      <c r="HB96" s="486"/>
      <c r="HC96" s="602"/>
      <c r="HD96" s="486"/>
      <c r="HE96" s="586"/>
      <c r="HF96" s="586"/>
      <c r="HG96" s="586"/>
      <c r="HH96" s="486"/>
      <c r="HI96" s="601"/>
      <c r="HJ96" s="486"/>
      <c r="HK96" s="602"/>
      <c r="HL96" s="486"/>
      <c r="HM96" s="586"/>
      <c r="HN96" s="586"/>
      <c r="HO96" s="586"/>
      <c r="HP96" s="486"/>
      <c r="HQ96" s="601"/>
      <c r="HR96" s="486"/>
      <c r="HS96" s="602"/>
      <c r="HT96" s="486"/>
      <c r="HU96" s="586"/>
      <c r="HV96" s="586"/>
      <c r="HW96" s="586"/>
      <c r="HX96" s="486"/>
      <c r="HY96" s="601"/>
      <c r="HZ96" s="486"/>
      <c r="IA96" s="602"/>
      <c r="IB96" s="486"/>
      <c r="IC96" s="586"/>
      <c r="ID96" s="586"/>
      <c r="IE96" s="586"/>
      <c r="IF96" s="486"/>
      <c r="IG96" s="601"/>
      <c r="IH96" s="486"/>
      <c r="II96" s="602"/>
      <c r="IJ96" s="486"/>
      <c r="IK96" s="586"/>
      <c r="IL96" s="586"/>
      <c r="IM96" s="586"/>
      <c r="IN96" s="486"/>
      <c r="IO96" s="601"/>
      <c r="IP96" s="486"/>
    </row>
    <row r="97" spans="1:250" s="244" customFormat="1" ht="14.1" customHeight="1">
      <c r="A97" s="306" t="s">
        <v>80</v>
      </c>
      <c r="B97" s="596">
        <v>14.585000000000001</v>
      </c>
      <c r="C97" s="1278">
        <v>75.822999999999993</v>
      </c>
      <c r="D97" s="1279"/>
      <c r="E97" s="603">
        <v>204.328</v>
      </c>
      <c r="F97" s="604"/>
      <c r="G97" s="607">
        <v>1423.9190000000001</v>
      </c>
      <c r="H97" s="603"/>
      <c r="I97" s="606">
        <v>1718.6550000000002</v>
      </c>
      <c r="J97" s="486"/>
      <c r="K97" s="602"/>
      <c r="L97" s="486"/>
      <c r="M97" s="608"/>
      <c r="N97" s="608"/>
      <c r="O97" s="608"/>
      <c r="P97" s="486"/>
      <c r="Q97" s="601"/>
      <c r="R97" s="486"/>
      <c r="S97" s="602"/>
      <c r="T97" s="486"/>
      <c r="U97" s="608"/>
      <c r="V97" s="608"/>
      <c r="W97" s="608"/>
      <c r="X97" s="486"/>
      <c r="Y97" s="601"/>
      <c r="Z97" s="486"/>
      <c r="AA97" s="602"/>
      <c r="AB97" s="486"/>
      <c r="AC97" s="608"/>
      <c r="AD97" s="608"/>
      <c r="AE97" s="608"/>
      <c r="AF97" s="486"/>
      <c r="AG97" s="601"/>
      <c r="AH97" s="486"/>
      <c r="AI97" s="602"/>
      <c r="AJ97" s="486"/>
      <c r="AK97" s="608"/>
      <c r="AL97" s="608"/>
      <c r="AM97" s="608"/>
      <c r="AN97" s="486"/>
      <c r="AO97" s="601"/>
      <c r="AP97" s="486"/>
      <c r="AQ97" s="602"/>
      <c r="AR97" s="486"/>
      <c r="AS97" s="608"/>
      <c r="AT97" s="608"/>
      <c r="AU97" s="608"/>
      <c r="AV97" s="486"/>
      <c r="AW97" s="601"/>
      <c r="AX97" s="486"/>
      <c r="AY97" s="602"/>
      <c r="AZ97" s="486"/>
      <c r="BA97" s="608"/>
      <c r="BB97" s="608"/>
      <c r="BC97" s="608"/>
      <c r="BD97" s="486"/>
      <c r="BE97" s="601"/>
      <c r="BF97" s="486"/>
      <c r="BG97" s="602"/>
      <c r="BH97" s="486"/>
      <c r="BI97" s="608"/>
      <c r="BJ97" s="608"/>
      <c r="BK97" s="608"/>
      <c r="BL97" s="486"/>
      <c r="BM97" s="601"/>
      <c r="BN97" s="486"/>
      <c r="BO97" s="602"/>
      <c r="BP97" s="486"/>
      <c r="BQ97" s="608"/>
      <c r="BR97" s="608"/>
      <c r="BS97" s="608"/>
      <c r="BT97" s="486"/>
      <c r="BU97" s="601"/>
      <c r="BV97" s="486"/>
      <c r="BW97" s="602"/>
      <c r="BX97" s="486"/>
      <c r="BY97" s="608"/>
      <c r="BZ97" s="608"/>
      <c r="CA97" s="608"/>
      <c r="CB97" s="486"/>
      <c r="CC97" s="601"/>
      <c r="CD97" s="486"/>
      <c r="CE97" s="602"/>
      <c r="CF97" s="486"/>
      <c r="CG97" s="608"/>
      <c r="CH97" s="608"/>
      <c r="CI97" s="608"/>
      <c r="CJ97" s="486"/>
      <c r="CK97" s="601"/>
      <c r="CL97" s="486"/>
      <c r="CM97" s="602"/>
      <c r="CN97" s="486"/>
      <c r="CO97" s="608"/>
      <c r="CP97" s="608"/>
      <c r="CQ97" s="608"/>
      <c r="CR97" s="486"/>
      <c r="CS97" s="601"/>
      <c r="CT97" s="486"/>
      <c r="CU97" s="602"/>
      <c r="CV97" s="486"/>
      <c r="CW97" s="608"/>
      <c r="CX97" s="608"/>
      <c r="CY97" s="608"/>
      <c r="CZ97" s="486"/>
      <c r="DA97" s="601"/>
      <c r="DB97" s="486"/>
      <c r="DC97" s="602"/>
      <c r="DD97" s="486"/>
      <c r="DE97" s="608"/>
      <c r="DF97" s="608"/>
      <c r="DG97" s="608"/>
      <c r="DH97" s="486"/>
      <c r="DI97" s="601"/>
      <c r="DJ97" s="486"/>
      <c r="DK97" s="602"/>
      <c r="DL97" s="486"/>
      <c r="DM97" s="608"/>
      <c r="DN97" s="608"/>
      <c r="DO97" s="608"/>
      <c r="DP97" s="486"/>
      <c r="DQ97" s="601"/>
      <c r="DR97" s="486"/>
      <c r="DS97" s="602"/>
      <c r="DT97" s="486"/>
      <c r="DU97" s="608"/>
      <c r="DV97" s="608"/>
      <c r="DW97" s="608"/>
      <c r="DX97" s="486"/>
      <c r="DY97" s="601"/>
      <c r="DZ97" s="486"/>
      <c r="EA97" s="602"/>
      <c r="EB97" s="486"/>
      <c r="EC97" s="608"/>
      <c r="ED97" s="608"/>
      <c r="EE97" s="608"/>
      <c r="EF97" s="486"/>
      <c r="EG97" s="601"/>
      <c r="EH97" s="486"/>
      <c r="EI97" s="602"/>
      <c r="EJ97" s="486"/>
      <c r="EK97" s="608"/>
      <c r="EL97" s="608"/>
      <c r="EM97" s="608"/>
      <c r="EN97" s="486"/>
      <c r="EO97" s="601"/>
      <c r="EP97" s="486"/>
      <c r="EQ97" s="602"/>
      <c r="ER97" s="486"/>
      <c r="ES97" s="608"/>
      <c r="ET97" s="608"/>
      <c r="EU97" s="608"/>
      <c r="EV97" s="486"/>
      <c r="EW97" s="601"/>
      <c r="EX97" s="486"/>
      <c r="EY97" s="602"/>
      <c r="EZ97" s="486"/>
      <c r="FA97" s="608"/>
      <c r="FB97" s="608"/>
      <c r="FC97" s="608"/>
      <c r="FD97" s="486"/>
      <c r="FE97" s="601"/>
      <c r="FF97" s="486"/>
      <c r="FG97" s="602"/>
      <c r="FH97" s="486"/>
      <c r="FI97" s="608"/>
      <c r="FJ97" s="608"/>
      <c r="FK97" s="608"/>
      <c r="FL97" s="486"/>
      <c r="FM97" s="601"/>
      <c r="FN97" s="486"/>
      <c r="FO97" s="602"/>
      <c r="FP97" s="486"/>
      <c r="FQ97" s="608"/>
      <c r="FR97" s="608"/>
      <c r="FS97" s="608"/>
      <c r="FT97" s="486"/>
      <c r="FU97" s="601"/>
      <c r="FV97" s="486"/>
      <c r="FW97" s="602"/>
      <c r="FX97" s="486"/>
      <c r="FY97" s="608"/>
      <c r="FZ97" s="608"/>
      <c r="GA97" s="608"/>
      <c r="GB97" s="486"/>
      <c r="GC97" s="601"/>
      <c r="GD97" s="486"/>
      <c r="GE97" s="602"/>
      <c r="GF97" s="486"/>
      <c r="GG97" s="608"/>
      <c r="GH97" s="608"/>
      <c r="GI97" s="608"/>
      <c r="GJ97" s="486"/>
      <c r="GK97" s="601"/>
      <c r="GL97" s="486"/>
      <c r="GM97" s="602"/>
      <c r="GN97" s="486"/>
      <c r="GO97" s="608"/>
      <c r="GP97" s="608"/>
      <c r="GQ97" s="608"/>
      <c r="GR97" s="486"/>
      <c r="GS97" s="601"/>
      <c r="GT97" s="486"/>
      <c r="GU97" s="602"/>
      <c r="GV97" s="486"/>
      <c r="GW97" s="608"/>
      <c r="GX97" s="608"/>
      <c r="GY97" s="608"/>
      <c r="GZ97" s="486"/>
      <c r="HA97" s="601"/>
      <c r="HB97" s="486"/>
      <c r="HC97" s="602"/>
      <c r="HD97" s="486"/>
      <c r="HE97" s="608"/>
      <c r="HF97" s="608"/>
      <c r="HG97" s="608"/>
      <c r="HH97" s="486"/>
      <c r="HI97" s="601"/>
      <c r="HJ97" s="486"/>
      <c r="HK97" s="602"/>
      <c r="HL97" s="486"/>
      <c r="HM97" s="608"/>
      <c r="HN97" s="608"/>
      <c r="HO97" s="608"/>
      <c r="HP97" s="486"/>
      <c r="HQ97" s="601"/>
      <c r="HR97" s="486"/>
      <c r="HS97" s="602"/>
      <c r="HT97" s="486"/>
      <c r="HU97" s="608"/>
      <c r="HV97" s="608"/>
      <c r="HW97" s="608"/>
      <c r="HX97" s="486"/>
      <c r="HY97" s="601"/>
      <c r="HZ97" s="486"/>
      <c r="IA97" s="602"/>
      <c r="IB97" s="486"/>
      <c r="IC97" s="608"/>
      <c r="ID97" s="608"/>
      <c r="IE97" s="608"/>
      <c r="IF97" s="486"/>
      <c r="IG97" s="601"/>
      <c r="IH97" s="486"/>
      <c r="II97" s="602"/>
      <c r="IJ97" s="486"/>
      <c r="IK97" s="608"/>
      <c r="IL97" s="608"/>
      <c r="IM97" s="608"/>
      <c r="IN97" s="486"/>
      <c r="IO97" s="601"/>
      <c r="IP97" s="486"/>
    </row>
    <row r="98" spans="1:250" s="244" customFormat="1" ht="14.1" customHeight="1">
      <c r="A98" s="306" t="s">
        <v>81</v>
      </c>
      <c r="B98" s="609">
        <v>9.1859999999999999</v>
      </c>
      <c r="C98" s="1278">
        <f>23.838+61.552</f>
        <v>85.39</v>
      </c>
      <c r="D98" s="1279"/>
      <c r="E98" s="1281">
        <f>32.648+61.789+1578.525-21.692</f>
        <v>1651.27</v>
      </c>
      <c r="F98" s="1282"/>
      <c r="G98" s="1282"/>
      <c r="H98" s="1283"/>
      <c r="I98" s="606">
        <f>SUM(B98:H98)</f>
        <v>1745.846</v>
      </c>
      <c r="J98" s="486"/>
      <c r="K98" s="602"/>
      <c r="L98" s="486"/>
      <c r="M98" s="608"/>
      <c r="N98" s="608"/>
      <c r="O98" s="608"/>
      <c r="P98" s="486"/>
      <c r="Q98" s="601"/>
      <c r="R98" s="486"/>
      <c r="S98" s="602"/>
      <c r="T98" s="486"/>
      <c r="U98" s="608"/>
      <c r="V98" s="608"/>
      <c r="W98" s="608"/>
      <c r="X98" s="486"/>
      <c r="Y98" s="601"/>
      <c r="Z98" s="486"/>
      <c r="AA98" s="602"/>
      <c r="AB98" s="486"/>
      <c r="AC98" s="608"/>
      <c r="AD98" s="608"/>
      <c r="AE98" s="608"/>
      <c r="AF98" s="486"/>
      <c r="AG98" s="601"/>
      <c r="AH98" s="486"/>
      <c r="AI98" s="602"/>
      <c r="AJ98" s="486"/>
      <c r="AK98" s="608"/>
      <c r="AL98" s="608"/>
      <c r="AM98" s="608"/>
      <c r="AN98" s="486"/>
      <c r="AO98" s="601"/>
      <c r="AP98" s="486"/>
      <c r="AQ98" s="602"/>
      <c r="AR98" s="486"/>
      <c r="AS98" s="608"/>
      <c r="AT98" s="608"/>
      <c r="AU98" s="608"/>
      <c r="AV98" s="486"/>
      <c r="AW98" s="601"/>
      <c r="AX98" s="486"/>
      <c r="AY98" s="602"/>
      <c r="AZ98" s="486"/>
      <c r="BA98" s="608"/>
      <c r="BB98" s="608"/>
      <c r="BC98" s="608"/>
      <c r="BD98" s="486"/>
      <c r="BE98" s="601"/>
      <c r="BF98" s="486"/>
      <c r="BG98" s="602"/>
      <c r="BH98" s="486"/>
      <c r="BI98" s="608"/>
      <c r="BJ98" s="608"/>
      <c r="BK98" s="608"/>
      <c r="BL98" s="486"/>
      <c r="BM98" s="601"/>
      <c r="BN98" s="486"/>
      <c r="BO98" s="602"/>
      <c r="BP98" s="486"/>
      <c r="BQ98" s="608"/>
      <c r="BR98" s="608"/>
      <c r="BS98" s="608"/>
      <c r="BT98" s="486"/>
      <c r="BU98" s="601"/>
      <c r="BV98" s="486"/>
      <c r="BW98" s="602"/>
      <c r="BX98" s="486"/>
      <c r="BY98" s="608"/>
      <c r="BZ98" s="608"/>
      <c r="CA98" s="608"/>
      <c r="CB98" s="486"/>
      <c r="CC98" s="601"/>
      <c r="CD98" s="486"/>
      <c r="CE98" s="602"/>
      <c r="CF98" s="486"/>
      <c r="CG98" s="608"/>
      <c r="CH98" s="608"/>
      <c r="CI98" s="608"/>
      <c r="CJ98" s="486"/>
      <c r="CK98" s="601"/>
      <c r="CL98" s="486"/>
      <c r="CM98" s="602"/>
      <c r="CN98" s="486"/>
      <c r="CO98" s="608"/>
      <c r="CP98" s="608"/>
      <c r="CQ98" s="608"/>
      <c r="CR98" s="486"/>
      <c r="CS98" s="601"/>
      <c r="CT98" s="486"/>
      <c r="CU98" s="602"/>
      <c r="CV98" s="486"/>
      <c r="CW98" s="608"/>
      <c r="CX98" s="608"/>
      <c r="CY98" s="608"/>
      <c r="CZ98" s="486"/>
      <c r="DA98" s="601"/>
      <c r="DB98" s="486"/>
      <c r="DC98" s="602"/>
      <c r="DD98" s="486"/>
      <c r="DE98" s="608"/>
      <c r="DF98" s="608"/>
      <c r="DG98" s="608"/>
      <c r="DH98" s="486"/>
      <c r="DI98" s="601"/>
      <c r="DJ98" s="486"/>
      <c r="DK98" s="602"/>
      <c r="DL98" s="486"/>
      <c r="DM98" s="608"/>
      <c r="DN98" s="608"/>
      <c r="DO98" s="608"/>
      <c r="DP98" s="486"/>
      <c r="DQ98" s="601"/>
      <c r="DR98" s="486"/>
      <c r="DS98" s="602"/>
      <c r="DT98" s="486"/>
      <c r="DU98" s="608"/>
      <c r="DV98" s="608"/>
      <c r="DW98" s="608"/>
      <c r="DX98" s="486"/>
      <c r="DY98" s="601"/>
      <c r="DZ98" s="486"/>
      <c r="EA98" s="602"/>
      <c r="EB98" s="486"/>
      <c r="EC98" s="608"/>
      <c r="ED98" s="608"/>
      <c r="EE98" s="608"/>
      <c r="EF98" s="486"/>
      <c r="EG98" s="601"/>
      <c r="EH98" s="486"/>
      <c r="EI98" s="602"/>
      <c r="EJ98" s="486"/>
      <c r="EK98" s="608"/>
      <c r="EL98" s="608"/>
      <c r="EM98" s="608"/>
      <c r="EN98" s="486"/>
      <c r="EO98" s="601"/>
      <c r="EP98" s="486"/>
      <c r="EQ98" s="602"/>
      <c r="ER98" s="486"/>
      <c r="ES98" s="608"/>
      <c r="ET98" s="608"/>
      <c r="EU98" s="608"/>
      <c r="EV98" s="486"/>
      <c r="EW98" s="601"/>
      <c r="EX98" s="486"/>
      <c r="EY98" s="602"/>
      <c r="EZ98" s="486"/>
      <c r="FA98" s="608"/>
      <c r="FB98" s="608"/>
      <c r="FC98" s="608"/>
      <c r="FD98" s="486"/>
      <c r="FE98" s="601"/>
      <c r="FF98" s="486"/>
      <c r="FG98" s="602"/>
      <c r="FH98" s="486"/>
      <c r="FI98" s="608"/>
      <c r="FJ98" s="608"/>
      <c r="FK98" s="608"/>
      <c r="FL98" s="486"/>
      <c r="FM98" s="601"/>
      <c r="FN98" s="486"/>
      <c r="FO98" s="602"/>
      <c r="FP98" s="486"/>
      <c r="FQ98" s="608"/>
      <c r="FR98" s="608"/>
      <c r="FS98" s="608"/>
      <c r="FT98" s="486"/>
      <c r="FU98" s="601"/>
      <c r="FV98" s="486"/>
      <c r="FW98" s="602"/>
      <c r="FX98" s="486"/>
      <c r="FY98" s="608"/>
      <c r="FZ98" s="608"/>
      <c r="GA98" s="608"/>
      <c r="GB98" s="486"/>
      <c r="GC98" s="601"/>
      <c r="GD98" s="486"/>
      <c r="GE98" s="602"/>
      <c r="GF98" s="486"/>
      <c r="GG98" s="608"/>
      <c r="GH98" s="608"/>
      <c r="GI98" s="608"/>
      <c r="GJ98" s="486"/>
      <c r="GK98" s="601"/>
      <c r="GL98" s="486"/>
      <c r="GM98" s="602"/>
      <c r="GN98" s="486"/>
      <c r="GO98" s="608"/>
      <c r="GP98" s="608"/>
      <c r="GQ98" s="608"/>
      <c r="GR98" s="486"/>
      <c r="GS98" s="601"/>
      <c r="GT98" s="486"/>
      <c r="GU98" s="602"/>
      <c r="GV98" s="486"/>
      <c r="GW98" s="608"/>
      <c r="GX98" s="608"/>
      <c r="GY98" s="608"/>
      <c r="GZ98" s="486"/>
      <c r="HA98" s="601"/>
      <c r="HB98" s="486"/>
      <c r="HC98" s="602"/>
      <c r="HD98" s="486"/>
      <c r="HE98" s="608"/>
      <c r="HF98" s="608"/>
      <c r="HG98" s="608"/>
      <c r="HH98" s="486"/>
      <c r="HI98" s="601"/>
      <c r="HJ98" s="486"/>
      <c r="HK98" s="602"/>
      <c r="HL98" s="486"/>
      <c r="HM98" s="608"/>
      <c r="HN98" s="608"/>
      <c r="HO98" s="608"/>
      <c r="HP98" s="486"/>
      <c r="HQ98" s="601"/>
      <c r="HR98" s="486"/>
      <c r="HS98" s="602"/>
      <c r="HT98" s="486"/>
      <c r="HU98" s="608"/>
      <c r="HV98" s="608"/>
      <c r="HW98" s="608"/>
      <c r="HX98" s="486"/>
      <c r="HY98" s="601"/>
      <c r="HZ98" s="486"/>
      <c r="IA98" s="602"/>
      <c r="IB98" s="486"/>
      <c r="IC98" s="608"/>
      <c r="ID98" s="608"/>
      <c r="IE98" s="608"/>
      <c r="IF98" s="486"/>
      <c r="IG98" s="601"/>
      <c r="IH98" s="486"/>
      <c r="II98" s="602"/>
      <c r="IJ98" s="486"/>
      <c r="IK98" s="608"/>
      <c r="IL98" s="608"/>
      <c r="IM98" s="608"/>
      <c r="IN98" s="486"/>
      <c r="IO98" s="601"/>
      <c r="IP98" s="486"/>
    </row>
    <row r="99" spans="1:250" s="244" customFormat="1" ht="14.1" customHeight="1">
      <c r="A99" s="306" t="s">
        <v>82</v>
      </c>
      <c r="B99" s="609">
        <v>18.100000000000001</v>
      </c>
      <c r="C99" s="610">
        <v>98.772999999999996</v>
      </c>
      <c r="D99" s="611"/>
      <c r="E99" s="605">
        <v>1534.009</v>
      </c>
      <c r="F99" s="603"/>
      <c r="G99" s="603"/>
      <c r="H99" s="603"/>
      <c r="I99" s="606">
        <v>1650.8820000000001</v>
      </c>
      <c r="J99" s="486"/>
      <c r="K99" s="602"/>
      <c r="L99" s="486"/>
      <c r="M99" s="608"/>
      <c r="N99" s="608"/>
      <c r="O99" s="608"/>
      <c r="P99" s="486"/>
      <c r="Q99" s="601"/>
      <c r="R99" s="486"/>
      <c r="S99" s="602"/>
      <c r="T99" s="486"/>
      <c r="U99" s="608"/>
      <c r="V99" s="608"/>
      <c r="W99" s="608"/>
      <c r="X99" s="486"/>
      <c r="Y99" s="601"/>
      <c r="Z99" s="486"/>
      <c r="AA99" s="602"/>
      <c r="AB99" s="486"/>
      <c r="AC99" s="608"/>
      <c r="AD99" s="608"/>
      <c r="AE99" s="608"/>
      <c r="AF99" s="486"/>
      <c r="AG99" s="601"/>
      <c r="AH99" s="486"/>
      <c r="AI99" s="602"/>
      <c r="AJ99" s="486"/>
      <c r="AK99" s="608"/>
      <c r="AL99" s="608"/>
      <c r="AM99" s="608"/>
      <c r="AN99" s="486"/>
      <c r="AO99" s="601"/>
      <c r="AP99" s="486"/>
      <c r="AQ99" s="602"/>
      <c r="AR99" s="486"/>
      <c r="AS99" s="608"/>
      <c r="AT99" s="608"/>
      <c r="AU99" s="608"/>
      <c r="AV99" s="486"/>
      <c r="AW99" s="601"/>
      <c r="AX99" s="486"/>
      <c r="AY99" s="602"/>
      <c r="AZ99" s="486"/>
      <c r="BA99" s="608"/>
      <c r="BB99" s="608"/>
      <c r="BC99" s="608"/>
      <c r="BD99" s="486"/>
      <c r="BE99" s="601"/>
      <c r="BF99" s="486"/>
      <c r="BG99" s="602"/>
      <c r="BH99" s="486"/>
      <c r="BI99" s="608"/>
      <c r="BJ99" s="608"/>
      <c r="BK99" s="608"/>
      <c r="BL99" s="486"/>
      <c r="BM99" s="601"/>
      <c r="BN99" s="486"/>
      <c r="BO99" s="602"/>
      <c r="BP99" s="486"/>
      <c r="BQ99" s="608"/>
      <c r="BR99" s="608"/>
      <c r="BS99" s="608"/>
      <c r="BT99" s="486"/>
      <c r="BU99" s="601"/>
      <c r="BV99" s="486"/>
      <c r="BW99" s="602"/>
      <c r="BX99" s="486"/>
      <c r="BY99" s="608"/>
      <c r="BZ99" s="608"/>
      <c r="CA99" s="608"/>
      <c r="CB99" s="486"/>
      <c r="CC99" s="601"/>
      <c r="CD99" s="486"/>
      <c r="CE99" s="602"/>
      <c r="CF99" s="486"/>
      <c r="CG99" s="608"/>
      <c r="CH99" s="608"/>
      <c r="CI99" s="608"/>
      <c r="CJ99" s="486"/>
      <c r="CK99" s="601"/>
      <c r="CL99" s="486"/>
      <c r="CM99" s="602"/>
      <c r="CN99" s="486"/>
      <c r="CO99" s="608"/>
      <c r="CP99" s="608"/>
      <c r="CQ99" s="608"/>
      <c r="CR99" s="486"/>
      <c r="CS99" s="601"/>
      <c r="CT99" s="486"/>
      <c r="CU99" s="602"/>
      <c r="CV99" s="486"/>
      <c r="CW99" s="608"/>
      <c r="CX99" s="608"/>
      <c r="CY99" s="608"/>
      <c r="CZ99" s="486"/>
      <c r="DA99" s="601"/>
      <c r="DB99" s="486"/>
      <c r="DC99" s="602"/>
      <c r="DD99" s="486"/>
      <c r="DE99" s="608"/>
      <c r="DF99" s="608"/>
      <c r="DG99" s="608"/>
      <c r="DH99" s="486"/>
      <c r="DI99" s="601"/>
      <c r="DJ99" s="486"/>
      <c r="DK99" s="602"/>
      <c r="DL99" s="486"/>
      <c r="DM99" s="608"/>
      <c r="DN99" s="608"/>
      <c r="DO99" s="608"/>
      <c r="DP99" s="486"/>
      <c r="DQ99" s="601"/>
      <c r="DR99" s="486"/>
      <c r="DS99" s="602"/>
      <c r="DT99" s="486"/>
      <c r="DU99" s="608"/>
      <c r="DV99" s="608"/>
      <c r="DW99" s="608"/>
      <c r="DX99" s="486"/>
      <c r="DY99" s="601"/>
      <c r="DZ99" s="486"/>
      <c r="EA99" s="602"/>
      <c r="EB99" s="486"/>
      <c r="EC99" s="608"/>
      <c r="ED99" s="608"/>
      <c r="EE99" s="608"/>
      <c r="EF99" s="486"/>
      <c r="EG99" s="601"/>
      <c r="EH99" s="486"/>
      <c r="EI99" s="602"/>
      <c r="EJ99" s="486"/>
      <c r="EK99" s="608"/>
      <c r="EL99" s="608"/>
      <c r="EM99" s="608"/>
      <c r="EN99" s="486"/>
      <c r="EO99" s="601"/>
      <c r="EP99" s="486"/>
      <c r="EQ99" s="602"/>
      <c r="ER99" s="486"/>
      <c r="ES99" s="608"/>
      <c r="ET99" s="608"/>
      <c r="EU99" s="608"/>
      <c r="EV99" s="486"/>
      <c r="EW99" s="601"/>
      <c r="EX99" s="486"/>
      <c r="EY99" s="602"/>
      <c r="EZ99" s="486"/>
      <c r="FA99" s="608"/>
      <c r="FB99" s="608"/>
      <c r="FC99" s="608"/>
      <c r="FD99" s="486"/>
      <c r="FE99" s="601"/>
      <c r="FF99" s="486"/>
      <c r="FG99" s="602"/>
      <c r="FH99" s="486"/>
      <c r="FI99" s="608"/>
      <c r="FJ99" s="608"/>
      <c r="FK99" s="608"/>
      <c r="FL99" s="486"/>
      <c r="FM99" s="601"/>
      <c r="FN99" s="486"/>
      <c r="FO99" s="602"/>
      <c r="FP99" s="486"/>
      <c r="FQ99" s="608"/>
      <c r="FR99" s="608"/>
      <c r="FS99" s="608"/>
      <c r="FT99" s="486"/>
      <c r="FU99" s="601"/>
      <c r="FV99" s="486"/>
      <c r="FW99" s="602"/>
      <c r="FX99" s="486"/>
      <c r="FY99" s="608"/>
      <c r="FZ99" s="608"/>
      <c r="GA99" s="608"/>
      <c r="GB99" s="486"/>
      <c r="GC99" s="601"/>
      <c r="GD99" s="486"/>
      <c r="GE99" s="602"/>
      <c r="GF99" s="486"/>
      <c r="GG99" s="608"/>
      <c r="GH99" s="608"/>
      <c r="GI99" s="608"/>
      <c r="GJ99" s="486"/>
      <c r="GK99" s="601"/>
      <c r="GL99" s="486"/>
      <c r="GM99" s="602"/>
      <c r="GN99" s="486"/>
      <c r="GO99" s="608"/>
      <c r="GP99" s="608"/>
      <c r="GQ99" s="608"/>
      <c r="GR99" s="486"/>
      <c r="GS99" s="601"/>
      <c r="GT99" s="486"/>
      <c r="GU99" s="602"/>
      <c r="GV99" s="486"/>
      <c r="GW99" s="608"/>
      <c r="GX99" s="608"/>
      <c r="GY99" s="608"/>
      <c r="GZ99" s="486"/>
      <c r="HA99" s="601"/>
      <c r="HB99" s="486"/>
      <c r="HC99" s="602"/>
      <c r="HD99" s="486"/>
      <c r="HE99" s="608"/>
      <c r="HF99" s="608"/>
      <c r="HG99" s="608"/>
      <c r="HH99" s="486"/>
      <c r="HI99" s="601"/>
      <c r="HJ99" s="486"/>
      <c r="HK99" s="602"/>
      <c r="HL99" s="486"/>
      <c r="HM99" s="608"/>
      <c r="HN99" s="608"/>
      <c r="HO99" s="608"/>
      <c r="HP99" s="486"/>
      <c r="HQ99" s="601"/>
      <c r="HR99" s="486"/>
      <c r="HS99" s="602"/>
      <c r="HT99" s="486"/>
      <c r="HU99" s="608"/>
      <c r="HV99" s="608"/>
      <c r="HW99" s="608"/>
      <c r="HX99" s="486"/>
      <c r="HY99" s="601"/>
      <c r="HZ99" s="486"/>
      <c r="IA99" s="602"/>
      <c r="IB99" s="486"/>
      <c r="IC99" s="608"/>
      <c r="ID99" s="608"/>
      <c r="IE99" s="608"/>
      <c r="IF99" s="486"/>
      <c r="IG99" s="601"/>
      <c r="IH99" s="486"/>
      <c r="II99" s="602"/>
      <c r="IJ99" s="486"/>
      <c r="IK99" s="608"/>
      <c r="IL99" s="608"/>
      <c r="IM99" s="608"/>
      <c r="IN99" s="486"/>
      <c r="IO99" s="601"/>
      <c r="IP99" s="486"/>
    </row>
    <row r="100" spans="1:250" s="244" customFormat="1" ht="14.1" customHeight="1">
      <c r="A100" s="569" t="s">
        <v>267</v>
      </c>
      <c r="B100" s="1284">
        <v>41.201999999999998</v>
      </c>
      <c r="C100" s="1285"/>
      <c r="D100" s="612">
        <v>48.77</v>
      </c>
      <c r="E100" s="613">
        <v>0</v>
      </c>
      <c r="F100" s="1286">
        <v>1704.127</v>
      </c>
      <c r="G100" s="1286"/>
      <c r="H100" s="1285"/>
      <c r="I100" s="614">
        <f>SUM(B100:H100)</f>
        <v>1794.0989999999999</v>
      </c>
      <c r="J100" s="486"/>
      <c r="K100" s="602"/>
      <c r="L100" s="486"/>
      <c r="M100" s="608"/>
      <c r="N100" s="608"/>
      <c r="O100" s="608"/>
      <c r="P100" s="486"/>
      <c r="Q100" s="601"/>
      <c r="R100" s="486"/>
      <c r="S100" s="602"/>
      <c r="T100" s="486"/>
      <c r="U100" s="608"/>
      <c r="V100" s="608"/>
      <c r="W100" s="608"/>
      <c r="X100" s="486"/>
      <c r="Y100" s="601"/>
      <c r="Z100" s="486"/>
      <c r="AA100" s="602"/>
      <c r="AB100" s="486"/>
      <c r="AC100" s="608"/>
      <c r="AD100" s="608"/>
      <c r="AE100" s="608"/>
      <c r="AF100" s="486"/>
      <c r="AG100" s="601"/>
      <c r="AH100" s="486"/>
      <c r="AI100" s="602"/>
      <c r="AJ100" s="486"/>
      <c r="AK100" s="608"/>
      <c r="AL100" s="608"/>
      <c r="AM100" s="608"/>
      <c r="AN100" s="486"/>
      <c r="AO100" s="601"/>
      <c r="AP100" s="486"/>
      <c r="AQ100" s="602"/>
      <c r="AR100" s="486"/>
      <c r="AS100" s="608"/>
      <c r="AT100" s="608"/>
      <c r="AU100" s="608"/>
      <c r="AV100" s="486"/>
      <c r="AW100" s="601"/>
      <c r="AX100" s="486"/>
      <c r="AY100" s="602"/>
      <c r="AZ100" s="486"/>
      <c r="BA100" s="608"/>
      <c r="BB100" s="608"/>
      <c r="BC100" s="608"/>
      <c r="BD100" s="486"/>
      <c r="BE100" s="601"/>
      <c r="BF100" s="486"/>
      <c r="BG100" s="602"/>
      <c r="BH100" s="486"/>
      <c r="BI100" s="608"/>
      <c r="BJ100" s="608"/>
      <c r="BK100" s="608"/>
      <c r="BL100" s="486"/>
      <c r="BM100" s="601"/>
      <c r="BN100" s="486"/>
      <c r="BO100" s="602"/>
      <c r="BP100" s="486"/>
      <c r="BQ100" s="608"/>
      <c r="BR100" s="608"/>
      <c r="BS100" s="608"/>
      <c r="BT100" s="486"/>
      <c r="BU100" s="601"/>
      <c r="BV100" s="486"/>
      <c r="BW100" s="602"/>
      <c r="BX100" s="486"/>
      <c r="BY100" s="608"/>
      <c r="BZ100" s="608"/>
      <c r="CA100" s="608"/>
      <c r="CB100" s="486"/>
      <c r="CC100" s="601"/>
      <c r="CD100" s="486"/>
      <c r="CE100" s="602"/>
      <c r="CF100" s="486"/>
      <c r="CG100" s="608"/>
      <c r="CH100" s="608"/>
      <c r="CI100" s="608"/>
      <c r="CJ100" s="486"/>
      <c r="CK100" s="601"/>
      <c r="CL100" s="486"/>
      <c r="CM100" s="602"/>
      <c r="CN100" s="486"/>
      <c r="CO100" s="608"/>
      <c r="CP100" s="608"/>
      <c r="CQ100" s="608"/>
      <c r="CR100" s="486"/>
      <c r="CS100" s="601"/>
      <c r="CT100" s="486"/>
      <c r="CU100" s="602"/>
      <c r="CV100" s="486"/>
      <c r="CW100" s="608"/>
      <c r="CX100" s="608"/>
      <c r="CY100" s="608"/>
      <c r="CZ100" s="486"/>
      <c r="DA100" s="601"/>
      <c r="DB100" s="486"/>
      <c r="DC100" s="602"/>
      <c r="DD100" s="486"/>
      <c r="DE100" s="608"/>
      <c r="DF100" s="608"/>
      <c r="DG100" s="608"/>
      <c r="DH100" s="486"/>
      <c r="DI100" s="601"/>
      <c r="DJ100" s="486"/>
      <c r="DK100" s="602"/>
      <c r="DL100" s="486"/>
      <c r="DM100" s="608"/>
      <c r="DN100" s="608"/>
      <c r="DO100" s="608"/>
      <c r="DP100" s="486"/>
      <c r="DQ100" s="601"/>
      <c r="DR100" s="486"/>
      <c r="DS100" s="602"/>
      <c r="DT100" s="486"/>
      <c r="DU100" s="608"/>
      <c r="DV100" s="608"/>
      <c r="DW100" s="608"/>
      <c r="DX100" s="486"/>
      <c r="DY100" s="601"/>
      <c r="DZ100" s="486"/>
      <c r="EA100" s="602"/>
      <c r="EB100" s="486"/>
      <c r="EC100" s="608"/>
      <c r="ED100" s="608"/>
      <c r="EE100" s="608"/>
      <c r="EF100" s="486"/>
      <c r="EG100" s="601"/>
      <c r="EH100" s="486"/>
      <c r="EI100" s="602"/>
      <c r="EJ100" s="486"/>
      <c r="EK100" s="608"/>
      <c r="EL100" s="608"/>
      <c r="EM100" s="608"/>
      <c r="EN100" s="486"/>
      <c r="EO100" s="601"/>
      <c r="EP100" s="486"/>
      <c r="EQ100" s="602"/>
      <c r="ER100" s="486"/>
      <c r="ES100" s="608"/>
      <c r="ET100" s="608"/>
      <c r="EU100" s="608"/>
      <c r="EV100" s="486"/>
      <c r="EW100" s="601"/>
      <c r="EX100" s="486"/>
      <c r="EY100" s="602"/>
      <c r="EZ100" s="486"/>
      <c r="FA100" s="608"/>
      <c r="FB100" s="608"/>
      <c r="FC100" s="608"/>
      <c r="FD100" s="486"/>
      <c r="FE100" s="601"/>
      <c r="FF100" s="486"/>
      <c r="FG100" s="602"/>
      <c r="FH100" s="486"/>
      <c r="FI100" s="608"/>
      <c r="FJ100" s="608"/>
      <c r="FK100" s="608"/>
      <c r="FL100" s="486"/>
      <c r="FM100" s="601"/>
      <c r="FN100" s="486"/>
      <c r="FO100" s="602"/>
      <c r="FP100" s="486"/>
      <c r="FQ100" s="608"/>
      <c r="FR100" s="608"/>
      <c r="FS100" s="608"/>
      <c r="FT100" s="486"/>
      <c r="FU100" s="601"/>
      <c r="FV100" s="486"/>
      <c r="FW100" s="602"/>
      <c r="FX100" s="486"/>
      <c r="FY100" s="608"/>
      <c r="FZ100" s="608"/>
      <c r="GA100" s="608"/>
      <c r="GB100" s="486"/>
      <c r="GC100" s="601"/>
      <c r="GD100" s="486"/>
      <c r="GE100" s="602"/>
      <c r="GF100" s="486"/>
      <c r="GG100" s="608"/>
      <c r="GH100" s="608"/>
      <c r="GI100" s="608"/>
      <c r="GJ100" s="486"/>
      <c r="GK100" s="601"/>
      <c r="GL100" s="486"/>
      <c r="GM100" s="602"/>
      <c r="GN100" s="486"/>
      <c r="GO100" s="608"/>
      <c r="GP100" s="608"/>
      <c r="GQ100" s="608"/>
      <c r="GR100" s="486"/>
      <c r="GS100" s="601"/>
      <c r="GT100" s="486"/>
      <c r="GU100" s="602"/>
      <c r="GV100" s="486"/>
      <c r="GW100" s="608"/>
      <c r="GX100" s="608"/>
      <c r="GY100" s="608"/>
      <c r="GZ100" s="486"/>
      <c r="HA100" s="601"/>
      <c r="HB100" s="486"/>
      <c r="HC100" s="602"/>
      <c r="HD100" s="486"/>
      <c r="HE100" s="608"/>
      <c r="HF100" s="608"/>
      <c r="HG100" s="608"/>
      <c r="HH100" s="486"/>
      <c r="HI100" s="601"/>
      <c r="HJ100" s="486"/>
      <c r="HK100" s="602"/>
      <c r="HL100" s="486"/>
      <c r="HM100" s="608"/>
      <c r="HN100" s="608"/>
      <c r="HO100" s="608"/>
      <c r="HP100" s="486"/>
      <c r="HQ100" s="601"/>
      <c r="HR100" s="486"/>
      <c r="HS100" s="602"/>
      <c r="HT100" s="486"/>
      <c r="HU100" s="608"/>
      <c r="HV100" s="608"/>
      <c r="HW100" s="608"/>
      <c r="HX100" s="486"/>
      <c r="HY100" s="601"/>
      <c r="HZ100" s="486"/>
      <c r="IA100" s="602"/>
      <c r="IB100" s="486"/>
      <c r="IC100" s="608"/>
      <c r="ID100" s="608"/>
      <c r="IE100" s="608"/>
      <c r="IF100" s="486"/>
      <c r="IG100" s="601"/>
      <c r="IH100" s="486"/>
      <c r="II100" s="602"/>
      <c r="IJ100" s="486"/>
      <c r="IK100" s="608"/>
      <c r="IL100" s="608"/>
      <c r="IM100" s="608"/>
      <c r="IN100" s="486"/>
      <c r="IO100" s="601"/>
      <c r="IP100" s="486"/>
    </row>
    <row r="101" spans="1:250" s="244" customFormat="1">
      <c r="A101" s="615"/>
      <c r="B101" s="245"/>
      <c r="C101" s="616"/>
      <c r="D101" s="617"/>
      <c r="E101" s="618" t="s">
        <v>88</v>
      </c>
      <c r="F101" s="616"/>
      <c r="G101" s="245"/>
      <c r="H101" s="245"/>
      <c r="I101" s="275"/>
      <c r="J101" s="486"/>
      <c r="K101" s="486"/>
      <c r="L101" s="486"/>
      <c r="M101" s="583"/>
      <c r="N101" s="582"/>
      <c r="O101" s="582"/>
      <c r="P101" s="582"/>
      <c r="Q101" s="486"/>
      <c r="R101" s="486"/>
      <c r="S101" s="486"/>
      <c r="T101" s="486"/>
      <c r="U101" s="583"/>
      <c r="V101" s="582"/>
      <c r="W101" s="582"/>
      <c r="X101" s="582"/>
      <c r="Y101" s="486"/>
      <c r="Z101" s="486"/>
      <c r="AA101" s="486"/>
      <c r="AB101" s="486"/>
      <c r="AC101" s="583"/>
      <c r="AD101" s="582"/>
      <c r="AE101" s="582"/>
      <c r="AF101" s="582"/>
      <c r="AG101" s="486"/>
      <c r="AH101" s="486"/>
      <c r="AI101" s="486"/>
      <c r="AJ101" s="486"/>
      <c r="AK101" s="583"/>
      <c r="AL101" s="582"/>
      <c r="AM101" s="582"/>
      <c r="AN101" s="582"/>
      <c r="AO101" s="486"/>
      <c r="AP101" s="486"/>
      <c r="AQ101" s="486"/>
      <c r="AR101" s="486"/>
      <c r="AS101" s="583"/>
      <c r="AT101" s="582"/>
      <c r="AU101" s="582"/>
      <c r="AV101" s="582"/>
      <c r="AW101" s="486"/>
      <c r="AX101" s="486"/>
      <c r="AY101" s="486"/>
      <c r="AZ101" s="486"/>
      <c r="BA101" s="583"/>
      <c r="BB101" s="582"/>
      <c r="BC101" s="582"/>
      <c r="BD101" s="582"/>
      <c r="BE101" s="486"/>
      <c r="BF101" s="486"/>
      <c r="BG101" s="486"/>
      <c r="BH101" s="486"/>
      <c r="BI101" s="583"/>
      <c r="BJ101" s="582"/>
      <c r="BK101" s="582"/>
      <c r="BL101" s="582"/>
      <c r="BM101" s="486"/>
      <c r="BN101" s="486"/>
      <c r="BO101" s="486"/>
      <c r="BP101" s="486"/>
      <c r="BQ101" s="583"/>
      <c r="BR101" s="582"/>
      <c r="BS101" s="582"/>
      <c r="BT101" s="582"/>
      <c r="BU101" s="486"/>
      <c r="BV101" s="486"/>
      <c r="BW101" s="486"/>
      <c r="BX101" s="486"/>
      <c r="BY101" s="583"/>
      <c r="BZ101" s="582"/>
      <c r="CA101" s="582"/>
      <c r="CB101" s="582"/>
      <c r="CC101" s="486"/>
      <c r="CD101" s="486"/>
      <c r="CE101" s="486"/>
      <c r="CF101" s="486"/>
      <c r="CG101" s="583"/>
      <c r="CH101" s="582"/>
      <c r="CI101" s="582"/>
      <c r="CJ101" s="582"/>
      <c r="CK101" s="486"/>
      <c r="CL101" s="486"/>
      <c r="CM101" s="486"/>
      <c r="CN101" s="486"/>
      <c r="CO101" s="583"/>
      <c r="CP101" s="582"/>
      <c r="CQ101" s="582"/>
      <c r="CR101" s="582"/>
      <c r="CS101" s="486"/>
      <c r="CT101" s="486"/>
      <c r="CU101" s="486"/>
      <c r="CV101" s="486"/>
      <c r="CW101" s="583"/>
      <c r="CX101" s="582"/>
      <c r="CY101" s="582"/>
      <c r="CZ101" s="582"/>
      <c r="DA101" s="486"/>
      <c r="DB101" s="486"/>
      <c r="DC101" s="486"/>
      <c r="DD101" s="486"/>
      <c r="DE101" s="583"/>
      <c r="DF101" s="582"/>
      <c r="DG101" s="582"/>
      <c r="DH101" s="582"/>
      <c r="DI101" s="486"/>
      <c r="DJ101" s="486"/>
      <c r="DK101" s="486"/>
      <c r="DL101" s="486"/>
      <c r="DM101" s="583"/>
      <c r="DN101" s="582"/>
      <c r="DO101" s="582"/>
      <c r="DP101" s="582"/>
      <c r="DQ101" s="486"/>
      <c r="DR101" s="486"/>
      <c r="DS101" s="486"/>
      <c r="DT101" s="486"/>
      <c r="DU101" s="583"/>
      <c r="DV101" s="582"/>
      <c r="DW101" s="582"/>
      <c r="DX101" s="582"/>
      <c r="DY101" s="486"/>
      <c r="DZ101" s="486"/>
      <c r="EA101" s="486"/>
      <c r="EB101" s="486"/>
      <c r="EC101" s="583"/>
      <c r="ED101" s="582"/>
      <c r="EE101" s="582"/>
      <c r="EF101" s="582"/>
      <c r="EG101" s="486"/>
      <c r="EH101" s="486"/>
      <c r="EI101" s="486"/>
      <c r="EJ101" s="486"/>
      <c r="EK101" s="583"/>
      <c r="EL101" s="582"/>
      <c r="EM101" s="582"/>
      <c r="EN101" s="582"/>
      <c r="EO101" s="486"/>
      <c r="EP101" s="486"/>
      <c r="EQ101" s="486"/>
      <c r="ER101" s="486"/>
      <c r="ES101" s="583"/>
      <c r="ET101" s="582"/>
      <c r="EU101" s="582"/>
      <c r="EV101" s="582"/>
      <c r="EW101" s="486"/>
      <c r="EX101" s="486"/>
      <c r="EY101" s="486"/>
      <c r="EZ101" s="486"/>
      <c r="FA101" s="583"/>
      <c r="FB101" s="582"/>
      <c r="FC101" s="582"/>
      <c r="FD101" s="582"/>
      <c r="FE101" s="486"/>
      <c r="FF101" s="486"/>
      <c r="FG101" s="486"/>
      <c r="FH101" s="486"/>
      <c r="FI101" s="583"/>
      <c r="FJ101" s="582"/>
      <c r="FK101" s="582"/>
      <c r="FL101" s="582"/>
      <c r="FM101" s="486"/>
      <c r="FN101" s="486"/>
      <c r="FO101" s="486"/>
      <c r="FP101" s="486"/>
      <c r="FQ101" s="583"/>
      <c r="FR101" s="582"/>
      <c r="FS101" s="582"/>
      <c r="FT101" s="582"/>
      <c r="FU101" s="486"/>
      <c r="FV101" s="486"/>
      <c r="FW101" s="486"/>
      <c r="FX101" s="486"/>
      <c r="FY101" s="583"/>
      <c r="FZ101" s="582"/>
      <c r="GA101" s="582"/>
      <c r="GB101" s="582"/>
      <c r="GC101" s="486"/>
      <c r="GD101" s="486"/>
      <c r="GE101" s="486"/>
      <c r="GF101" s="486"/>
      <c r="GG101" s="583"/>
      <c r="GH101" s="582"/>
      <c r="GI101" s="582"/>
      <c r="GJ101" s="582"/>
      <c r="GK101" s="486"/>
      <c r="GL101" s="486"/>
      <c r="GM101" s="486"/>
      <c r="GN101" s="486"/>
      <c r="GO101" s="583"/>
      <c r="GP101" s="582"/>
      <c r="GQ101" s="582"/>
      <c r="GR101" s="582"/>
      <c r="GS101" s="486"/>
      <c r="GT101" s="486"/>
      <c r="GU101" s="486"/>
      <c r="GV101" s="486"/>
      <c r="GW101" s="583"/>
      <c r="GX101" s="582"/>
      <c r="GY101" s="582"/>
      <c r="GZ101" s="582"/>
      <c r="HA101" s="486"/>
      <c r="HB101" s="486"/>
      <c r="HC101" s="486"/>
      <c r="HD101" s="486"/>
      <c r="HE101" s="583"/>
      <c r="HF101" s="582"/>
      <c r="HG101" s="582"/>
      <c r="HH101" s="582"/>
      <c r="HI101" s="486"/>
      <c r="HJ101" s="486"/>
      <c r="HK101" s="486"/>
      <c r="HL101" s="486"/>
      <c r="HM101" s="583"/>
      <c r="HN101" s="582"/>
      <c r="HO101" s="582"/>
      <c r="HP101" s="582"/>
      <c r="HQ101" s="486"/>
      <c r="HR101" s="486"/>
      <c r="HS101" s="486"/>
      <c r="HT101" s="486"/>
      <c r="HU101" s="583"/>
      <c r="HV101" s="582"/>
      <c r="HW101" s="582"/>
      <c r="HX101" s="582"/>
      <c r="HY101" s="486"/>
      <c r="HZ101" s="486"/>
      <c r="IA101" s="486"/>
      <c r="IB101" s="486"/>
      <c r="IC101" s="583"/>
      <c r="ID101" s="582"/>
      <c r="IE101" s="582"/>
      <c r="IF101" s="582"/>
      <c r="IG101" s="486"/>
      <c r="IH101" s="486"/>
      <c r="II101" s="486"/>
      <c r="IJ101" s="486"/>
      <c r="IK101" s="583"/>
      <c r="IL101" s="582"/>
      <c r="IM101" s="582"/>
      <c r="IN101" s="582"/>
      <c r="IO101" s="486"/>
      <c r="IP101" s="486"/>
    </row>
    <row r="102" spans="1:250" s="244" customFormat="1">
      <c r="A102" s="329" t="s">
        <v>71</v>
      </c>
      <c r="B102" s="619">
        <v>89.028000000000006</v>
      </c>
      <c r="C102" s="546">
        <v>62.484000000000002</v>
      </c>
      <c r="D102" s="620">
        <v>205.185</v>
      </c>
      <c r="E102" s="597">
        <v>466.89600000000002</v>
      </c>
      <c r="F102" s="598"/>
      <c r="G102" s="597">
        <v>1360.3420000000001</v>
      </c>
      <c r="H102" s="598"/>
      <c r="I102" s="621">
        <v>2183.9350000000004</v>
      </c>
      <c r="J102" s="486"/>
      <c r="K102" s="602"/>
      <c r="L102" s="486"/>
      <c r="M102" s="586"/>
      <c r="N102" s="586"/>
      <c r="O102" s="586"/>
      <c r="P102" s="486"/>
      <c r="Q102" s="601"/>
      <c r="R102" s="486"/>
      <c r="S102" s="602"/>
      <c r="T102" s="486"/>
      <c r="U102" s="586"/>
      <c r="V102" s="586"/>
      <c r="W102" s="586"/>
      <c r="X102" s="486"/>
      <c r="Y102" s="601"/>
      <c r="Z102" s="486"/>
      <c r="AA102" s="602"/>
      <c r="AB102" s="486"/>
      <c r="AC102" s="586"/>
      <c r="AD102" s="586"/>
      <c r="AE102" s="586"/>
      <c r="AF102" s="486"/>
      <c r="AG102" s="601"/>
      <c r="AH102" s="486"/>
      <c r="AI102" s="602"/>
      <c r="AJ102" s="486"/>
      <c r="AK102" s="586"/>
      <c r="AL102" s="586"/>
      <c r="AM102" s="586"/>
      <c r="AN102" s="486"/>
      <c r="AO102" s="601"/>
      <c r="AP102" s="486"/>
      <c r="AQ102" s="602"/>
      <c r="AR102" s="486"/>
      <c r="AS102" s="586"/>
      <c r="AT102" s="586"/>
      <c r="AU102" s="586"/>
      <c r="AV102" s="486"/>
      <c r="AW102" s="601"/>
      <c r="AX102" s="486"/>
      <c r="AY102" s="602"/>
      <c r="AZ102" s="486"/>
      <c r="BA102" s="586"/>
      <c r="BB102" s="586"/>
      <c r="BC102" s="586"/>
      <c r="BD102" s="486"/>
      <c r="BE102" s="601"/>
      <c r="BF102" s="486"/>
      <c r="BG102" s="602"/>
      <c r="BH102" s="486"/>
      <c r="BI102" s="586"/>
      <c r="BJ102" s="586"/>
      <c r="BK102" s="586"/>
      <c r="BL102" s="486"/>
      <c r="BM102" s="601"/>
      <c r="BN102" s="486"/>
      <c r="BO102" s="602"/>
      <c r="BP102" s="486"/>
      <c r="BQ102" s="586"/>
      <c r="BR102" s="586"/>
      <c r="BS102" s="586"/>
      <c r="BT102" s="486"/>
      <c r="BU102" s="601"/>
      <c r="BV102" s="486"/>
      <c r="BW102" s="602"/>
      <c r="BX102" s="486"/>
      <c r="BY102" s="586"/>
      <c r="BZ102" s="586"/>
      <c r="CA102" s="586"/>
      <c r="CB102" s="486"/>
      <c r="CC102" s="601"/>
      <c r="CD102" s="486"/>
      <c r="CE102" s="602"/>
      <c r="CF102" s="486"/>
      <c r="CG102" s="586"/>
      <c r="CH102" s="586"/>
      <c r="CI102" s="586"/>
      <c r="CJ102" s="486"/>
      <c r="CK102" s="601"/>
      <c r="CL102" s="486"/>
      <c r="CM102" s="602"/>
      <c r="CN102" s="486"/>
      <c r="CO102" s="586"/>
      <c r="CP102" s="586"/>
      <c r="CQ102" s="586"/>
      <c r="CR102" s="486"/>
      <c r="CS102" s="601"/>
      <c r="CT102" s="486"/>
      <c r="CU102" s="602"/>
      <c r="CV102" s="486"/>
      <c r="CW102" s="586"/>
      <c r="CX102" s="586"/>
      <c r="CY102" s="586"/>
      <c r="CZ102" s="486"/>
      <c r="DA102" s="601"/>
      <c r="DB102" s="486"/>
      <c r="DC102" s="602"/>
      <c r="DD102" s="486"/>
      <c r="DE102" s="586"/>
      <c r="DF102" s="586"/>
      <c r="DG102" s="586"/>
      <c r="DH102" s="486"/>
      <c r="DI102" s="601"/>
      <c r="DJ102" s="486"/>
      <c r="DK102" s="602"/>
      <c r="DL102" s="486"/>
      <c r="DM102" s="586"/>
      <c r="DN102" s="586"/>
      <c r="DO102" s="586"/>
      <c r="DP102" s="486"/>
      <c r="DQ102" s="601"/>
      <c r="DR102" s="486"/>
      <c r="DS102" s="602"/>
      <c r="DT102" s="486"/>
      <c r="DU102" s="586"/>
      <c r="DV102" s="586"/>
      <c r="DW102" s="586"/>
      <c r="DX102" s="486"/>
      <c r="DY102" s="601"/>
      <c r="DZ102" s="486"/>
      <c r="EA102" s="602"/>
      <c r="EB102" s="486"/>
      <c r="EC102" s="586"/>
      <c r="ED102" s="586"/>
      <c r="EE102" s="586"/>
      <c r="EF102" s="486"/>
      <c r="EG102" s="601"/>
      <c r="EH102" s="486"/>
      <c r="EI102" s="602"/>
      <c r="EJ102" s="486"/>
      <c r="EK102" s="586"/>
      <c r="EL102" s="586"/>
      <c r="EM102" s="586"/>
      <c r="EN102" s="486"/>
      <c r="EO102" s="601"/>
      <c r="EP102" s="486"/>
      <c r="EQ102" s="602"/>
      <c r="ER102" s="486"/>
      <c r="ES102" s="586"/>
      <c r="ET102" s="586"/>
      <c r="EU102" s="586"/>
      <c r="EV102" s="486"/>
      <c r="EW102" s="601"/>
      <c r="EX102" s="486"/>
      <c r="EY102" s="602"/>
      <c r="EZ102" s="486"/>
      <c r="FA102" s="586"/>
      <c r="FB102" s="586"/>
      <c r="FC102" s="586"/>
      <c r="FD102" s="486"/>
      <c r="FE102" s="601"/>
      <c r="FF102" s="486"/>
      <c r="FG102" s="602"/>
      <c r="FH102" s="486"/>
      <c r="FI102" s="586"/>
      <c r="FJ102" s="586"/>
      <c r="FK102" s="586"/>
      <c r="FL102" s="486"/>
      <c r="FM102" s="601"/>
      <c r="FN102" s="486"/>
      <c r="FO102" s="602"/>
      <c r="FP102" s="486"/>
      <c r="FQ102" s="586"/>
      <c r="FR102" s="586"/>
      <c r="FS102" s="586"/>
      <c r="FT102" s="486"/>
      <c r="FU102" s="601"/>
      <c r="FV102" s="486"/>
      <c r="FW102" s="602"/>
      <c r="FX102" s="486"/>
      <c r="FY102" s="586"/>
      <c r="FZ102" s="586"/>
      <c r="GA102" s="586"/>
      <c r="GB102" s="486"/>
      <c r="GC102" s="601"/>
      <c r="GD102" s="486"/>
      <c r="GE102" s="602"/>
      <c r="GF102" s="486"/>
      <c r="GG102" s="586"/>
      <c r="GH102" s="586"/>
      <c r="GI102" s="586"/>
      <c r="GJ102" s="486"/>
      <c r="GK102" s="601"/>
      <c r="GL102" s="486"/>
      <c r="GM102" s="602"/>
      <c r="GN102" s="486"/>
      <c r="GO102" s="586"/>
      <c r="GP102" s="586"/>
      <c r="GQ102" s="586"/>
      <c r="GR102" s="486"/>
      <c r="GS102" s="601"/>
      <c r="GT102" s="486"/>
      <c r="GU102" s="602"/>
      <c r="GV102" s="486"/>
      <c r="GW102" s="586"/>
      <c r="GX102" s="586"/>
      <c r="GY102" s="586"/>
      <c r="GZ102" s="486"/>
      <c r="HA102" s="601"/>
      <c r="HB102" s="486"/>
      <c r="HC102" s="602"/>
      <c r="HD102" s="486"/>
      <c r="HE102" s="586"/>
      <c r="HF102" s="586"/>
      <c r="HG102" s="586"/>
      <c r="HH102" s="486"/>
      <c r="HI102" s="601"/>
      <c r="HJ102" s="486"/>
      <c r="HK102" s="602"/>
      <c r="HL102" s="486"/>
      <c r="HM102" s="586"/>
      <c r="HN102" s="586"/>
      <c r="HO102" s="586"/>
      <c r="HP102" s="486"/>
      <c r="HQ102" s="601"/>
      <c r="HR102" s="486"/>
      <c r="HS102" s="602"/>
      <c r="HT102" s="486"/>
      <c r="HU102" s="586"/>
      <c r="HV102" s="586"/>
      <c r="HW102" s="586"/>
      <c r="HX102" s="486"/>
      <c r="HY102" s="601"/>
      <c r="HZ102" s="486"/>
      <c r="IA102" s="602"/>
      <c r="IB102" s="486"/>
      <c r="IC102" s="586"/>
      <c r="ID102" s="586"/>
      <c r="IE102" s="586"/>
      <c r="IF102" s="486"/>
      <c r="IG102" s="601"/>
      <c r="IH102" s="486"/>
      <c r="II102" s="602"/>
      <c r="IJ102" s="486"/>
      <c r="IK102" s="586"/>
      <c r="IL102" s="586"/>
      <c r="IM102" s="586"/>
      <c r="IN102" s="486"/>
      <c r="IO102" s="601"/>
      <c r="IP102" s="486"/>
    </row>
    <row r="103" spans="1:250" s="244" customFormat="1">
      <c r="A103" s="540" t="s">
        <v>168</v>
      </c>
      <c r="B103" s="568">
        <v>92.686000000000007</v>
      </c>
      <c r="C103" s="596">
        <v>43.917999999999999</v>
      </c>
      <c r="D103" s="609">
        <v>171.595</v>
      </c>
      <c r="E103" s="596">
        <v>271.27999999999997</v>
      </c>
      <c r="F103" s="568">
        <v>218.61</v>
      </c>
      <c r="G103" s="605">
        <v>1295.615</v>
      </c>
      <c r="H103" s="604"/>
      <c r="I103" s="622">
        <v>2093.7039999999997</v>
      </c>
      <c r="J103" s="486"/>
      <c r="K103" s="602"/>
      <c r="L103" s="486"/>
      <c r="M103" s="586"/>
      <c r="N103" s="586"/>
      <c r="O103" s="586"/>
      <c r="P103" s="486"/>
      <c r="Q103" s="601"/>
      <c r="R103" s="486"/>
      <c r="S103" s="602"/>
      <c r="T103" s="486"/>
      <c r="U103" s="586"/>
      <c r="V103" s="586"/>
      <c r="W103" s="586"/>
      <c r="X103" s="486"/>
      <c r="Y103" s="601"/>
      <c r="Z103" s="486"/>
      <c r="AA103" s="602"/>
      <c r="AB103" s="486"/>
      <c r="AC103" s="586"/>
      <c r="AD103" s="586"/>
      <c r="AE103" s="586"/>
      <c r="AF103" s="486"/>
      <c r="AG103" s="601"/>
      <c r="AH103" s="486"/>
      <c r="AI103" s="602"/>
      <c r="AJ103" s="486"/>
      <c r="AK103" s="586"/>
      <c r="AL103" s="586"/>
      <c r="AM103" s="586"/>
      <c r="AN103" s="486"/>
      <c r="AO103" s="601"/>
      <c r="AP103" s="486"/>
      <c r="AQ103" s="602"/>
      <c r="AR103" s="486"/>
      <c r="AS103" s="586"/>
      <c r="AT103" s="586"/>
      <c r="AU103" s="586"/>
      <c r="AV103" s="486"/>
      <c r="AW103" s="601"/>
      <c r="AX103" s="486"/>
      <c r="AY103" s="602"/>
      <c r="AZ103" s="486"/>
      <c r="BA103" s="586"/>
      <c r="BB103" s="586"/>
      <c r="BC103" s="586"/>
      <c r="BD103" s="486"/>
      <c r="BE103" s="601"/>
      <c r="BF103" s="486"/>
      <c r="BG103" s="602"/>
      <c r="BH103" s="486"/>
      <c r="BI103" s="586"/>
      <c r="BJ103" s="586"/>
      <c r="BK103" s="586"/>
      <c r="BL103" s="486"/>
      <c r="BM103" s="601"/>
      <c r="BN103" s="486"/>
      <c r="BO103" s="602"/>
      <c r="BP103" s="486"/>
      <c r="BQ103" s="586"/>
      <c r="BR103" s="586"/>
      <c r="BS103" s="586"/>
      <c r="BT103" s="486"/>
      <c r="BU103" s="601"/>
      <c r="BV103" s="486"/>
      <c r="BW103" s="602"/>
      <c r="BX103" s="486"/>
      <c r="BY103" s="586"/>
      <c r="BZ103" s="586"/>
      <c r="CA103" s="586"/>
      <c r="CB103" s="486"/>
      <c r="CC103" s="601"/>
      <c r="CD103" s="486"/>
      <c r="CE103" s="602"/>
      <c r="CF103" s="486"/>
      <c r="CG103" s="586"/>
      <c r="CH103" s="586"/>
      <c r="CI103" s="586"/>
      <c r="CJ103" s="486"/>
      <c r="CK103" s="601"/>
      <c r="CL103" s="486"/>
      <c r="CM103" s="602"/>
      <c r="CN103" s="486"/>
      <c r="CO103" s="586"/>
      <c r="CP103" s="586"/>
      <c r="CQ103" s="586"/>
      <c r="CR103" s="486"/>
      <c r="CS103" s="601"/>
      <c r="CT103" s="486"/>
      <c r="CU103" s="602"/>
      <c r="CV103" s="486"/>
      <c r="CW103" s="586"/>
      <c r="CX103" s="586"/>
      <c r="CY103" s="586"/>
      <c r="CZ103" s="486"/>
      <c r="DA103" s="601"/>
      <c r="DB103" s="486"/>
      <c r="DC103" s="602"/>
      <c r="DD103" s="486"/>
      <c r="DE103" s="586"/>
      <c r="DF103" s="586"/>
      <c r="DG103" s="586"/>
      <c r="DH103" s="486"/>
      <c r="DI103" s="601"/>
      <c r="DJ103" s="486"/>
      <c r="DK103" s="602"/>
      <c r="DL103" s="486"/>
      <c r="DM103" s="586"/>
      <c r="DN103" s="586"/>
      <c r="DO103" s="586"/>
      <c r="DP103" s="486"/>
      <c r="DQ103" s="601"/>
      <c r="DR103" s="486"/>
      <c r="DS103" s="602"/>
      <c r="DT103" s="486"/>
      <c r="DU103" s="586"/>
      <c r="DV103" s="586"/>
      <c r="DW103" s="586"/>
      <c r="DX103" s="486"/>
      <c r="DY103" s="601"/>
      <c r="DZ103" s="486"/>
      <c r="EA103" s="602"/>
      <c r="EB103" s="486"/>
      <c r="EC103" s="586"/>
      <c r="ED103" s="586"/>
      <c r="EE103" s="586"/>
      <c r="EF103" s="486"/>
      <c r="EG103" s="601"/>
      <c r="EH103" s="486"/>
      <c r="EI103" s="602"/>
      <c r="EJ103" s="486"/>
      <c r="EK103" s="586"/>
      <c r="EL103" s="586"/>
      <c r="EM103" s="586"/>
      <c r="EN103" s="486"/>
      <c r="EO103" s="601"/>
      <c r="EP103" s="486"/>
      <c r="EQ103" s="602"/>
      <c r="ER103" s="486"/>
      <c r="ES103" s="586"/>
      <c r="ET103" s="586"/>
      <c r="EU103" s="586"/>
      <c r="EV103" s="486"/>
      <c r="EW103" s="601"/>
      <c r="EX103" s="486"/>
      <c r="EY103" s="602"/>
      <c r="EZ103" s="486"/>
      <c r="FA103" s="586"/>
      <c r="FB103" s="586"/>
      <c r="FC103" s="586"/>
      <c r="FD103" s="486"/>
      <c r="FE103" s="601"/>
      <c r="FF103" s="486"/>
      <c r="FG103" s="602"/>
      <c r="FH103" s="486"/>
      <c r="FI103" s="586"/>
      <c r="FJ103" s="586"/>
      <c r="FK103" s="586"/>
      <c r="FL103" s="486"/>
      <c r="FM103" s="601"/>
      <c r="FN103" s="486"/>
      <c r="FO103" s="602"/>
      <c r="FP103" s="486"/>
      <c r="FQ103" s="586"/>
      <c r="FR103" s="586"/>
      <c r="FS103" s="586"/>
      <c r="FT103" s="486"/>
      <c r="FU103" s="601"/>
      <c r="FV103" s="486"/>
      <c r="FW103" s="602"/>
      <c r="FX103" s="486"/>
      <c r="FY103" s="586"/>
      <c r="FZ103" s="586"/>
      <c r="GA103" s="586"/>
      <c r="GB103" s="486"/>
      <c r="GC103" s="601"/>
      <c r="GD103" s="486"/>
      <c r="GE103" s="602"/>
      <c r="GF103" s="486"/>
      <c r="GG103" s="586"/>
      <c r="GH103" s="586"/>
      <c r="GI103" s="586"/>
      <c r="GJ103" s="486"/>
      <c r="GK103" s="601"/>
      <c r="GL103" s="486"/>
      <c r="GM103" s="602"/>
      <c r="GN103" s="486"/>
      <c r="GO103" s="586"/>
      <c r="GP103" s="586"/>
      <c r="GQ103" s="586"/>
      <c r="GR103" s="486"/>
      <c r="GS103" s="601"/>
      <c r="GT103" s="486"/>
      <c r="GU103" s="602"/>
      <c r="GV103" s="486"/>
      <c r="GW103" s="586"/>
      <c r="GX103" s="586"/>
      <c r="GY103" s="586"/>
      <c r="GZ103" s="486"/>
      <c r="HA103" s="601"/>
      <c r="HB103" s="486"/>
      <c r="HC103" s="602"/>
      <c r="HD103" s="486"/>
      <c r="HE103" s="586"/>
      <c r="HF103" s="586"/>
      <c r="HG103" s="586"/>
      <c r="HH103" s="486"/>
      <c r="HI103" s="601"/>
      <c r="HJ103" s="486"/>
      <c r="HK103" s="602"/>
      <c r="HL103" s="486"/>
      <c r="HM103" s="586"/>
      <c r="HN103" s="586"/>
      <c r="HO103" s="586"/>
      <c r="HP103" s="486"/>
      <c r="HQ103" s="601"/>
      <c r="HR103" s="486"/>
      <c r="HS103" s="602"/>
      <c r="HT103" s="486"/>
      <c r="HU103" s="586"/>
      <c r="HV103" s="586"/>
      <c r="HW103" s="586"/>
      <c r="HX103" s="486"/>
      <c r="HY103" s="601"/>
      <c r="HZ103" s="486"/>
      <c r="IA103" s="602"/>
      <c r="IB103" s="486"/>
      <c r="IC103" s="586"/>
      <c r="ID103" s="586"/>
      <c r="IE103" s="586"/>
      <c r="IF103" s="486"/>
      <c r="IG103" s="601"/>
      <c r="IH103" s="486"/>
      <c r="II103" s="602"/>
      <c r="IJ103" s="486"/>
      <c r="IK103" s="586"/>
      <c r="IL103" s="586"/>
      <c r="IM103" s="586"/>
      <c r="IN103" s="486"/>
      <c r="IO103" s="601"/>
      <c r="IP103" s="486"/>
    </row>
    <row r="104" spans="1:250" s="244" customFormat="1" ht="14.1" hidden="1" customHeight="1">
      <c r="A104" s="332" t="s">
        <v>72</v>
      </c>
      <c r="B104" s="568"/>
      <c r="C104" s="596">
        <v>1938651</v>
      </c>
      <c r="D104" s="609">
        <v>0</v>
      </c>
      <c r="E104" s="596">
        <v>302691</v>
      </c>
      <c r="F104" s="568">
        <v>2241342</v>
      </c>
      <c r="G104" s="623" t="e">
        <v>#DIV/0!</v>
      </c>
      <c r="H104" s="604"/>
      <c r="I104" s="622" t="e">
        <v>#DIV/0!</v>
      </c>
      <c r="J104" s="486"/>
      <c r="K104" s="602"/>
      <c r="L104" s="486"/>
      <c r="M104" s="586"/>
      <c r="N104" s="586"/>
      <c r="O104" s="586"/>
      <c r="P104" s="486"/>
      <c r="Q104" s="601"/>
      <c r="R104" s="486"/>
      <c r="S104" s="602"/>
      <c r="T104" s="486"/>
      <c r="U104" s="586"/>
      <c r="V104" s="586"/>
      <c r="W104" s="586"/>
      <c r="X104" s="486"/>
      <c r="Y104" s="601"/>
      <c r="Z104" s="486"/>
      <c r="AA104" s="602"/>
      <c r="AB104" s="486"/>
      <c r="AC104" s="586"/>
      <c r="AD104" s="586"/>
      <c r="AE104" s="586"/>
      <c r="AF104" s="486"/>
      <c r="AG104" s="601"/>
      <c r="AH104" s="486"/>
      <c r="AI104" s="602"/>
      <c r="AJ104" s="486"/>
      <c r="AK104" s="586"/>
      <c r="AL104" s="586"/>
      <c r="AM104" s="586"/>
      <c r="AN104" s="486"/>
      <c r="AO104" s="601"/>
      <c r="AP104" s="486"/>
      <c r="AQ104" s="602"/>
      <c r="AR104" s="486"/>
      <c r="AS104" s="586"/>
      <c r="AT104" s="586"/>
      <c r="AU104" s="586"/>
      <c r="AV104" s="486"/>
      <c r="AW104" s="601"/>
      <c r="AX104" s="486"/>
      <c r="AY104" s="602"/>
      <c r="AZ104" s="486"/>
      <c r="BA104" s="586"/>
      <c r="BB104" s="586"/>
      <c r="BC104" s="586"/>
      <c r="BD104" s="486"/>
      <c r="BE104" s="601"/>
      <c r="BF104" s="486"/>
      <c r="BG104" s="602"/>
      <c r="BH104" s="486"/>
      <c r="BI104" s="586"/>
      <c r="BJ104" s="586"/>
      <c r="BK104" s="586"/>
      <c r="BL104" s="486"/>
      <c r="BM104" s="601"/>
      <c r="BN104" s="486"/>
      <c r="BO104" s="602"/>
      <c r="BP104" s="486"/>
      <c r="BQ104" s="586"/>
      <c r="BR104" s="586"/>
      <c r="BS104" s="586"/>
      <c r="BT104" s="486"/>
      <c r="BU104" s="601"/>
      <c r="BV104" s="486"/>
      <c r="BW104" s="602"/>
      <c r="BX104" s="486"/>
      <c r="BY104" s="586"/>
      <c r="BZ104" s="586"/>
      <c r="CA104" s="586"/>
      <c r="CB104" s="486"/>
      <c r="CC104" s="601"/>
      <c r="CD104" s="486"/>
      <c r="CE104" s="602"/>
      <c r="CF104" s="486"/>
      <c r="CG104" s="586"/>
      <c r="CH104" s="586"/>
      <c r="CI104" s="586"/>
      <c r="CJ104" s="486"/>
      <c r="CK104" s="601"/>
      <c r="CL104" s="486"/>
      <c r="CM104" s="602"/>
      <c r="CN104" s="486"/>
      <c r="CO104" s="586"/>
      <c r="CP104" s="586"/>
      <c r="CQ104" s="586"/>
      <c r="CR104" s="486"/>
      <c r="CS104" s="601"/>
      <c r="CT104" s="486"/>
      <c r="CU104" s="602"/>
      <c r="CV104" s="486"/>
      <c r="CW104" s="586"/>
      <c r="CX104" s="586"/>
      <c r="CY104" s="586"/>
      <c r="CZ104" s="486"/>
      <c r="DA104" s="601"/>
      <c r="DB104" s="486"/>
      <c r="DC104" s="602"/>
      <c r="DD104" s="486"/>
      <c r="DE104" s="586"/>
      <c r="DF104" s="586"/>
      <c r="DG104" s="586"/>
      <c r="DH104" s="486"/>
      <c r="DI104" s="601"/>
      <c r="DJ104" s="486"/>
      <c r="DK104" s="602"/>
      <c r="DL104" s="486"/>
      <c r="DM104" s="586"/>
      <c r="DN104" s="586"/>
      <c r="DO104" s="586"/>
      <c r="DP104" s="486"/>
      <c r="DQ104" s="601"/>
      <c r="DR104" s="486"/>
      <c r="DS104" s="602"/>
      <c r="DT104" s="486"/>
      <c r="DU104" s="586"/>
      <c r="DV104" s="586"/>
      <c r="DW104" s="586"/>
      <c r="DX104" s="486"/>
      <c r="DY104" s="601"/>
      <c r="DZ104" s="486"/>
      <c r="EA104" s="602"/>
      <c r="EB104" s="486"/>
      <c r="EC104" s="586"/>
      <c r="ED104" s="586"/>
      <c r="EE104" s="586"/>
      <c r="EF104" s="486"/>
      <c r="EG104" s="601"/>
      <c r="EH104" s="486"/>
      <c r="EI104" s="602"/>
      <c r="EJ104" s="486"/>
      <c r="EK104" s="586"/>
      <c r="EL104" s="586"/>
      <c r="EM104" s="586"/>
      <c r="EN104" s="486"/>
      <c r="EO104" s="601"/>
      <c r="EP104" s="486"/>
      <c r="EQ104" s="602"/>
      <c r="ER104" s="486"/>
      <c r="ES104" s="586"/>
      <c r="ET104" s="586"/>
      <c r="EU104" s="586"/>
      <c r="EV104" s="486"/>
      <c r="EW104" s="601"/>
      <c r="EX104" s="486"/>
      <c r="EY104" s="602"/>
      <c r="EZ104" s="486"/>
      <c r="FA104" s="586"/>
      <c r="FB104" s="586"/>
      <c r="FC104" s="586"/>
      <c r="FD104" s="486"/>
      <c r="FE104" s="601"/>
      <c r="FF104" s="486"/>
      <c r="FG104" s="602"/>
      <c r="FH104" s="486"/>
      <c r="FI104" s="586"/>
      <c r="FJ104" s="586"/>
      <c r="FK104" s="586"/>
      <c r="FL104" s="486"/>
      <c r="FM104" s="601"/>
      <c r="FN104" s="486"/>
      <c r="FO104" s="602"/>
      <c r="FP104" s="486"/>
      <c r="FQ104" s="586"/>
      <c r="FR104" s="586"/>
      <c r="FS104" s="586"/>
      <c r="FT104" s="486"/>
      <c r="FU104" s="601"/>
      <c r="FV104" s="486"/>
      <c r="FW104" s="602"/>
      <c r="FX104" s="486"/>
      <c r="FY104" s="586"/>
      <c r="FZ104" s="586"/>
      <c r="GA104" s="586"/>
      <c r="GB104" s="486"/>
      <c r="GC104" s="601"/>
      <c r="GD104" s="486"/>
      <c r="GE104" s="602"/>
      <c r="GF104" s="486"/>
      <c r="GG104" s="586"/>
      <c r="GH104" s="586"/>
      <c r="GI104" s="586"/>
      <c r="GJ104" s="486"/>
      <c r="GK104" s="601"/>
      <c r="GL104" s="486"/>
      <c r="GM104" s="602"/>
      <c r="GN104" s="486"/>
      <c r="GO104" s="586"/>
      <c r="GP104" s="586"/>
      <c r="GQ104" s="586"/>
      <c r="GR104" s="486"/>
      <c r="GS104" s="601"/>
      <c r="GT104" s="486"/>
      <c r="GU104" s="602"/>
      <c r="GV104" s="486"/>
      <c r="GW104" s="586"/>
      <c r="GX104" s="586"/>
      <c r="GY104" s="586"/>
      <c r="GZ104" s="486"/>
      <c r="HA104" s="601"/>
      <c r="HB104" s="486"/>
      <c r="HC104" s="602"/>
      <c r="HD104" s="486"/>
      <c r="HE104" s="586"/>
      <c r="HF104" s="586"/>
      <c r="HG104" s="586"/>
      <c r="HH104" s="486"/>
      <c r="HI104" s="601"/>
      <c r="HJ104" s="486"/>
      <c r="HK104" s="602"/>
      <c r="HL104" s="486"/>
      <c r="HM104" s="586"/>
      <c r="HN104" s="586"/>
      <c r="HO104" s="586"/>
      <c r="HP104" s="486"/>
      <c r="HQ104" s="601"/>
      <c r="HR104" s="486"/>
      <c r="HS104" s="602"/>
      <c r="HT104" s="486"/>
      <c r="HU104" s="586"/>
      <c r="HV104" s="586"/>
      <c r="HW104" s="586"/>
      <c r="HX104" s="486"/>
      <c r="HY104" s="601"/>
      <c r="HZ104" s="486"/>
      <c r="IA104" s="602"/>
      <c r="IB104" s="486"/>
      <c r="IC104" s="586"/>
      <c r="ID104" s="586"/>
      <c r="IE104" s="586"/>
      <c r="IF104" s="486"/>
      <c r="IG104" s="601"/>
      <c r="IH104" s="486"/>
      <c r="II104" s="602"/>
      <c r="IJ104" s="486"/>
      <c r="IK104" s="586"/>
      <c r="IL104" s="586"/>
      <c r="IM104" s="586"/>
      <c r="IN104" s="486"/>
      <c r="IO104" s="601"/>
      <c r="IP104" s="486"/>
    </row>
    <row r="105" spans="1:250" s="244" customFormat="1" ht="14.1" hidden="1" customHeight="1">
      <c r="A105" s="332" t="s">
        <v>73</v>
      </c>
      <c r="B105" s="568">
        <v>88.183999999999997</v>
      </c>
      <c r="C105" s="596">
        <v>54.808</v>
      </c>
      <c r="D105" s="609">
        <v>186.47200000000001</v>
      </c>
      <c r="E105" s="596">
        <v>115.434</v>
      </c>
      <c r="F105" s="568">
        <v>428.435</v>
      </c>
      <c r="G105" s="605">
        <v>1368.009</v>
      </c>
      <c r="H105" s="604"/>
      <c r="I105" s="622">
        <v>2241.3420000000001</v>
      </c>
      <c r="J105" s="486"/>
      <c r="K105" s="602"/>
      <c r="L105" s="486"/>
      <c r="M105" s="586"/>
      <c r="N105" s="586"/>
      <c r="O105" s="586"/>
      <c r="P105" s="486"/>
      <c r="Q105" s="601"/>
      <c r="R105" s="486"/>
      <c r="S105" s="602"/>
      <c r="T105" s="486"/>
      <c r="U105" s="586"/>
      <c r="V105" s="586"/>
      <c r="W105" s="586"/>
      <c r="X105" s="486"/>
      <c r="Y105" s="601"/>
      <c r="Z105" s="486"/>
      <c r="AA105" s="602"/>
      <c r="AB105" s="486"/>
      <c r="AC105" s="586"/>
      <c r="AD105" s="586"/>
      <c r="AE105" s="586"/>
      <c r="AF105" s="486"/>
      <c r="AG105" s="601"/>
      <c r="AH105" s="486"/>
      <c r="AI105" s="602"/>
      <c r="AJ105" s="486"/>
      <c r="AK105" s="586"/>
      <c r="AL105" s="586"/>
      <c r="AM105" s="586"/>
      <c r="AN105" s="486"/>
      <c r="AO105" s="601"/>
      <c r="AP105" s="486"/>
      <c r="AQ105" s="602"/>
      <c r="AR105" s="486"/>
      <c r="AS105" s="586"/>
      <c r="AT105" s="586"/>
      <c r="AU105" s="586"/>
      <c r="AV105" s="486"/>
      <c r="AW105" s="601"/>
      <c r="AX105" s="486"/>
      <c r="AY105" s="602"/>
      <c r="AZ105" s="486"/>
      <c r="BA105" s="586"/>
      <c r="BB105" s="586"/>
      <c r="BC105" s="586"/>
      <c r="BD105" s="486"/>
      <c r="BE105" s="601"/>
      <c r="BF105" s="486"/>
      <c r="BG105" s="602"/>
      <c r="BH105" s="486"/>
      <c r="BI105" s="586"/>
      <c r="BJ105" s="586"/>
      <c r="BK105" s="586"/>
      <c r="BL105" s="486"/>
      <c r="BM105" s="601"/>
      <c r="BN105" s="486"/>
      <c r="BO105" s="602"/>
      <c r="BP105" s="486"/>
      <c r="BQ105" s="586"/>
      <c r="BR105" s="586"/>
      <c r="BS105" s="586"/>
      <c r="BT105" s="486"/>
      <c r="BU105" s="601"/>
      <c r="BV105" s="486"/>
      <c r="BW105" s="602"/>
      <c r="BX105" s="486"/>
      <c r="BY105" s="586"/>
      <c r="BZ105" s="586"/>
      <c r="CA105" s="586"/>
      <c r="CB105" s="486"/>
      <c r="CC105" s="601"/>
      <c r="CD105" s="486"/>
      <c r="CE105" s="602"/>
      <c r="CF105" s="486"/>
      <c r="CG105" s="586"/>
      <c r="CH105" s="586"/>
      <c r="CI105" s="586"/>
      <c r="CJ105" s="486"/>
      <c r="CK105" s="601"/>
      <c r="CL105" s="486"/>
      <c r="CM105" s="602"/>
      <c r="CN105" s="486"/>
      <c r="CO105" s="586"/>
      <c r="CP105" s="586"/>
      <c r="CQ105" s="586"/>
      <c r="CR105" s="486"/>
      <c r="CS105" s="601"/>
      <c r="CT105" s="486"/>
      <c r="CU105" s="602"/>
      <c r="CV105" s="486"/>
      <c r="CW105" s="586"/>
      <c r="CX105" s="586"/>
      <c r="CY105" s="586"/>
      <c r="CZ105" s="486"/>
      <c r="DA105" s="601"/>
      <c r="DB105" s="486"/>
      <c r="DC105" s="602"/>
      <c r="DD105" s="486"/>
      <c r="DE105" s="586"/>
      <c r="DF105" s="586"/>
      <c r="DG105" s="586"/>
      <c r="DH105" s="486"/>
      <c r="DI105" s="601"/>
      <c r="DJ105" s="486"/>
      <c r="DK105" s="602"/>
      <c r="DL105" s="486"/>
      <c r="DM105" s="586"/>
      <c r="DN105" s="586"/>
      <c r="DO105" s="586"/>
      <c r="DP105" s="486"/>
      <c r="DQ105" s="601"/>
      <c r="DR105" s="486"/>
      <c r="DS105" s="602"/>
      <c r="DT105" s="486"/>
      <c r="DU105" s="586"/>
      <c r="DV105" s="586"/>
      <c r="DW105" s="586"/>
      <c r="DX105" s="486"/>
      <c r="DY105" s="601"/>
      <c r="DZ105" s="486"/>
      <c r="EA105" s="602"/>
      <c r="EB105" s="486"/>
      <c r="EC105" s="586"/>
      <c r="ED105" s="586"/>
      <c r="EE105" s="586"/>
      <c r="EF105" s="486"/>
      <c r="EG105" s="601"/>
      <c r="EH105" s="486"/>
      <c r="EI105" s="602"/>
      <c r="EJ105" s="486"/>
      <c r="EK105" s="586"/>
      <c r="EL105" s="586"/>
      <c r="EM105" s="586"/>
      <c r="EN105" s="486"/>
      <c r="EO105" s="601"/>
      <c r="EP105" s="486"/>
      <c r="EQ105" s="602"/>
      <c r="ER105" s="486"/>
      <c r="ES105" s="586"/>
      <c r="ET105" s="586"/>
      <c r="EU105" s="586"/>
      <c r="EV105" s="486"/>
      <c r="EW105" s="601"/>
      <c r="EX105" s="486"/>
      <c r="EY105" s="602"/>
      <c r="EZ105" s="486"/>
      <c r="FA105" s="586"/>
      <c r="FB105" s="586"/>
      <c r="FC105" s="586"/>
      <c r="FD105" s="486"/>
      <c r="FE105" s="601"/>
      <c r="FF105" s="486"/>
      <c r="FG105" s="602"/>
      <c r="FH105" s="486"/>
      <c r="FI105" s="586"/>
      <c r="FJ105" s="586"/>
      <c r="FK105" s="586"/>
      <c r="FL105" s="486"/>
      <c r="FM105" s="601"/>
      <c r="FN105" s="486"/>
      <c r="FO105" s="602"/>
      <c r="FP105" s="486"/>
      <c r="FQ105" s="586"/>
      <c r="FR105" s="586"/>
      <c r="FS105" s="586"/>
      <c r="FT105" s="486"/>
      <c r="FU105" s="601"/>
      <c r="FV105" s="486"/>
      <c r="FW105" s="602"/>
      <c r="FX105" s="486"/>
      <c r="FY105" s="586"/>
      <c r="FZ105" s="586"/>
      <c r="GA105" s="586"/>
      <c r="GB105" s="486"/>
      <c r="GC105" s="601"/>
      <c r="GD105" s="486"/>
      <c r="GE105" s="602"/>
      <c r="GF105" s="486"/>
      <c r="GG105" s="586"/>
      <c r="GH105" s="586"/>
      <c r="GI105" s="586"/>
      <c r="GJ105" s="486"/>
      <c r="GK105" s="601"/>
      <c r="GL105" s="486"/>
      <c r="GM105" s="602"/>
      <c r="GN105" s="486"/>
      <c r="GO105" s="586"/>
      <c r="GP105" s="586"/>
      <c r="GQ105" s="586"/>
      <c r="GR105" s="486"/>
      <c r="GS105" s="601"/>
      <c r="GT105" s="486"/>
      <c r="GU105" s="602"/>
      <c r="GV105" s="486"/>
      <c r="GW105" s="586"/>
      <c r="GX105" s="586"/>
      <c r="GY105" s="586"/>
      <c r="GZ105" s="486"/>
      <c r="HA105" s="601"/>
      <c r="HB105" s="486"/>
      <c r="HC105" s="602"/>
      <c r="HD105" s="486"/>
      <c r="HE105" s="586"/>
      <c r="HF105" s="586"/>
      <c r="HG105" s="586"/>
      <c r="HH105" s="486"/>
      <c r="HI105" s="601"/>
      <c r="HJ105" s="486"/>
      <c r="HK105" s="602"/>
      <c r="HL105" s="486"/>
      <c r="HM105" s="586"/>
      <c r="HN105" s="586"/>
      <c r="HO105" s="586"/>
      <c r="HP105" s="486"/>
      <c r="HQ105" s="601"/>
      <c r="HR105" s="486"/>
      <c r="HS105" s="602"/>
      <c r="HT105" s="486"/>
      <c r="HU105" s="586"/>
      <c r="HV105" s="586"/>
      <c r="HW105" s="586"/>
      <c r="HX105" s="486"/>
      <c r="HY105" s="601"/>
      <c r="HZ105" s="486"/>
      <c r="IA105" s="602"/>
      <c r="IB105" s="486"/>
      <c r="IC105" s="586"/>
      <c r="ID105" s="586"/>
      <c r="IE105" s="586"/>
      <c r="IF105" s="486"/>
      <c r="IG105" s="601"/>
      <c r="IH105" s="486"/>
      <c r="II105" s="602"/>
      <c r="IJ105" s="486"/>
      <c r="IK105" s="586"/>
      <c r="IL105" s="586"/>
      <c r="IM105" s="586"/>
      <c r="IN105" s="486"/>
      <c r="IO105" s="601"/>
      <c r="IP105" s="486"/>
    </row>
    <row r="106" spans="1:250" s="244" customFormat="1" ht="14.1" hidden="1" customHeight="1">
      <c r="A106" s="332" t="s">
        <v>74</v>
      </c>
      <c r="B106" s="568">
        <v>78.92</v>
      </c>
      <c r="C106" s="596">
        <v>53.204000000000001</v>
      </c>
      <c r="D106" s="609">
        <v>268.34699999999998</v>
      </c>
      <c r="E106" s="605">
        <v>372.31100000000004</v>
      </c>
      <c r="F106" s="604"/>
      <c r="G106" s="623">
        <v>1424.306</v>
      </c>
      <c r="H106" s="604"/>
      <c r="I106" s="622">
        <v>2197.0880000000002</v>
      </c>
      <c r="J106" s="486"/>
      <c r="K106" s="602"/>
      <c r="L106" s="486"/>
      <c r="M106" s="586"/>
      <c r="N106" s="586"/>
      <c r="O106" s="586"/>
      <c r="P106" s="486"/>
      <c r="Q106" s="601"/>
      <c r="R106" s="486"/>
      <c r="S106" s="602"/>
      <c r="T106" s="486"/>
      <c r="U106" s="586"/>
      <c r="V106" s="586"/>
      <c r="W106" s="586"/>
      <c r="X106" s="486"/>
      <c r="Y106" s="601"/>
      <c r="Z106" s="486"/>
      <c r="AA106" s="602"/>
      <c r="AB106" s="486"/>
      <c r="AC106" s="586"/>
      <c r="AD106" s="586"/>
      <c r="AE106" s="586"/>
      <c r="AF106" s="486"/>
      <c r="AG106" s="601"/>
      <c r="AH106" s="486"/>
      <c r="AI106" s="602"/>
      <c r="AJ106" s="486"/>
      <c r="AK106" s="586"/>
      <c r="AL106" s="586"/>
      <c r="AM106" s="586"/>
      <c r="AN106" s="486"/>
      <c r="AO106" s="601"/>
      <c r="AP106" s="486"/>
      <c r="AQ106" s="602"/>
      <c r="AR106" s="486"/>
      <c r="AS106" s="586"/>
      <c r="AT106" s="586"/>
      <c r="AU106" s="586"/>
      <c r="AV106" s="486"/>
      <c r="AW106" s="601"/>
      <c r="AX106" s="486"/>
      <c r="AY106" s="602"/>
      <c r="AZ106" s="486"/>
      <c r="BA106" s="586"/>
      <c r="BB106" s="586"/>
      <c r="BC106" s="586"/>
      <c r="BD106" s="486"/>
      <c r="BE106" s="601"/>
      <c r="BF106" s="486"/>
      <c r="BG106" s="602"/>
      <c r="BH106" s="486"/>
      <c r="BI106" s="586"/>
      <c r="BJ106" s="586"/>
      <c r="BK106" s="586"/>
      <c r="BL106" s="486"/>
      <c r="BM106" s="601"/>
      <c r="BN106" s="486"/>
      <c r="BO106" s="602"/>
      <c r="BP106" s="486"/>
      <c r="BQ106" s="586"/>
      <c r="BR106" s="586"/>
      <c r="BS106" s="586"/>
      <c r="BT106" s="486"/>
      <c r="BU106" s="601"/>
      <c r="BV106" s="486"/>
      <c r="BW106" s="602"/>
      <c r="BX106" s="486"/>
      <c r="BY106" s="586"/>
      <c r="BZ106" s="586"/>
      <c r="CA106" s="586"/>
      <c r="CB106" s="486"/>
      <c r="CC106" s="601"/>
      <c r="CD106" s="486"/>
      <c r="CE106" s="602"/>
      <c r="CF106" s="486"/>
      <c r="CG106" s="586"/>
      <c r="CH106" s="586"/>
      <c r="CI106" s="586"/>
      <c r="CJ106" s="486"/>
      <c r="CK106" s="601"/>
      <c r="CL106" s="486"/>
      <c r="CM106" s="602"/>
      <c r="CN106" s="486"/>
      <c r="CO106" s="586"/>
      <c r="CP106" s="586"/>
      <c r="CQ106" s="586"/>
      <c r="CR106" s="486"/>
      <c r="CS106" s="601"/>
      <c r="CT106" s="486"/>
      <c r="CU106" s="602"/>
      <c r="CV106" s="486"/>
      <c r="CW106" s="586"/>
      <c r="CX106" s="586"/>
      <c r="CY106" s="586"/>
      <c r="CZ106" s="486"/>
      <c r="DA106" s="601"/>
      <c r="DB106" s="486"/>
      <c r="DC106" s="602"/>
      <c r="DD106" s="486"/>
      <c r="DE106" s="586"/>
      <c r="DF106" s="586"/>
      <c r="DG106" s="586"/>
      <c r="DH106" s="486"/>
      <c r="DI106" s="601"/>
      <c r="DJ106" s="486"/>
      <c r="DK106" s="602"/>
      <c r="DL106" s="486"/>
      <c r="DM106" s="586"/>
      <c r="DN106" s="586"/>
      <c r="DO106" s="586"/>
      <c r="DP106" s="486"/>
      <c r="DQ106" s="601"/>
      <c r="DR106" s="486"/>
      <c r="DS106" s="602"/>
      <c r="DT106" s="486"/>
      <c r="DU106" s="586"/>
      <c r="DV106" s="586"/>
      <c r="DW106" s="586"/>
      <c r="DX106" s="486"/>
      <c r="DY106" s="601"/>
      <c r="DZ106" s="486"/>
      <c r="EA106" s="602"/>
      <c r="EB106" s="486"/>
      <c r="EC106" s="586"/>
      <c r="ED106" s="586"/>
      <c r="EE106" s="586"/>
      <c r="EF106" s="486"/>
      <c r="EG106" s="601"/>
      <c r="EH106" s="486"/>
      <c r="EI106" s="602"/>
      <c r="EJ106" s="486"/>
      <c r="EK106" s="586"/>
      <c r="EL106" s="586"/>
      <c r="EM106" s="586"/>
      <c r="EN106" s="486"/>
      <c r="EO106" s="601"/>
      <c r="EP106" s="486"/>
      <c r="EQ106" s="602"/>
      <c r="ER106" s="486"/>
      <c r="ES106" s="586"/>
      <c r="ET106" s="586"/>
      <c r="EU106" s="586"/>
      <c r="EV106" s="486"/>
      <c r="EW106" s="601"/>
      <c r="EX106" s="486"/>
      <c r="EY106" s="602"/>
      <c r="EZ106" s="486"/>
      <c r="FA106" s="586"/>
      <c r="FB106" s="586"/>
      <c r="FC106" s="586"/>
      <c r="FD106" s="486"/>
      <c r="FE106" s="601"/>
      <c r="FF106" s="486"/>
      <c r="FG106" s="602"/>
      <c r="FH106" s="486"/>
      <c r="FI106" s="586"/>
      <c r="FJ106" s="586"/>
      <c r="FK106" s="586"/>
      <c r="FL106" s="486"/>
      <c r="FM106" s="601"/>
      <c r="FN106" s="486"/>
      <c r="FO106" s="602"/>
      <c r="FP106" s="486"/>
      <c r="FQ106" s="586"/>
      <c r="FR106" s="586"/>
      <c r="FS106" s="586"/>
      <c r="FT106" s="486"/>
      <c r="FU106" s="601"/>
      <c r="FV106" s="486"/>
      <c r="FW106" s="602"/>
      <c r="FX106" s="486"/>
      <c r="FY106" s="586"/>
      <c r="FZ106" s="586"/>
      <c r="GA106" s="586"/>
      <c r="GB106" s="486"/>
      <c r="GC106" s="601"/>
      <c r="GD106" s="486"/>
      <c r="GE106" s="602"/>
      <c r="GF106" s="486"/>
      <c r="GG106" s="586"/>
      <c r="GH106" s="586"/>
      <c r="GI106" s="586"/>
      <c r="GJ106" s="486"/>
      <c r="GK106" s="601"/>
      <c r="GL106" s="486"/>
      <c r="GM106" s="602"/>
      <c r="GN106" s="486"/>
      <c r="GO106" s="586"/>
      <c r="GP106" s="586"/>
      <c r="GQ106" s="586"/>
      <c r="GR106" s="486"/>
      <c r="GS106" s="601"/>
      <c r="GT106" s="486"/>
      <c r="GU106" s="602"/>
      <c r="GV106" s="486"/>
      <c r="GW106" s="586"/>
      <c r="GX106" s="586"/>
      <c r="GY106" s="586"/>
      <c r="GZ106" s="486"/>
      <c r="HA106" s="601"/>
      <c r="HB106" s="486"/>
      <c r="HC106" s="602"/>
      <c r="HD106" s="486"/>
      <c r="HE106" s="586"/>
      <c r="HF106" s="586"/>
      <c r="HG106" s="586"/>
      <c r="HH106" s="486"/>
      <c r="HI106" s="601"/>
      <c r="HJ106" s="486"/>
      <c r="HK106" s="602"/>
      <c r="HL106" s="486"/>
      <c r="HM106" s="586"/>
      <c r="HN106" s="586"/>
      <c r="HO106" s="586"/>
      <c r="HP106" s="486"/>
      <c r="HQ106" s="601"/>
      <c r="HR106" s="486"/>
      <c r="HS106" s="602"/>
      <c r="HT106" s="486"/>
      <c r="HU106" s="586"/>
      <c r="HV106" s="586"/>
      <c r="HW106" s="586"/>
      <c r="HX106" s="486"/>
      <c r="HY106" s="601"/>
      <c r="HZ106" s="486"/>
      <c r="IA106" s="602"/>
      <c r="IB106" s="486"/>
      <c r="IC106" s="586"/>
      <c r="ID106" s="586"/>
      <c r="IE106" s="586"/>
      <c r="IF106" s="486"/>
      <c r="IG106" s="601"/>
      <c r="IH106" s="486"/>
      <c r="II106" s="602"/>
      <c r="IJ106" s="486"/>
      <c r="IK106" s="586"/>
      <c r="IL106" s="586"/>
      <c r="IM106" s="586"/>
      <c r="IN106" s="486"/>
      <c r="IO106" s="601"/>
      <c r="IP106" s="486"/>
    </row>
    <row r="107" spans="1:250" s="244" customFormat="1" ht="14.1" hidden="1" customHeight="1">
      <c r="A107" s="332" t="s">
        <v>75</v>
      </c>
      <c r="B107" s="568">
        <v>83.608000000000004</v>
      </c>
      <c r="C107" s="596">
        <v>53.460999999999999</v>
      </c>
      <c r="D107" s="609">
        <v>142.471</v>
      </c>
      <c r="E107" s="596">
        <v>199.12700000000001</v>
      </c>
      <c r="F107" s="568">
        <v>206.49199999999999</v>
      </c>
      <c r="G107" s="605">
        <v>1611.712</v>
      </c>
      <c r="H107" s="604"/>
      <c r="I107" s="622">
        <v>2296.8710000000001</v>
      </c>
      <c r="J107" s="486"/>
      <c r="K107" s="602"/>
      <c r="L107" s="486"/>
      <c r="M107" s="586"/>
      <c r="N107" s="586"/>
      <c r="O107" s="586"/>
      <c r="P107" s="486"/>
      <c r="Q107" s="601"/>
      <c r="R107" s="486"/>
      <c r="S107" s="602"/>
      <c r="T107" s="486"/>
      <c r="U107" s="586"/>
      <c r="V107" s="586"/>
      <c r="W107" s="586"/>
      <c r="X107" s="486"/>
      <c r="Y107" s="601"/>
      <c r="Z107" s="486"/>
      <c r="AA107" s="602"/>
      <c r="AB107" s="486"/>
      <c r="AC107" s="586"/>
      <c r="AD107" s="586"/>
      <c r="AE107" s="586"/>
      <c r="AF107" s="486"/>
      <c r="AG107" s="601"/>
      <c r="AH107" s="486"/>
      <c r="AI107" s="602"/>
      <c r="AJ107" s="486"/>
      <c r="AK107" s="586"/>
      <c r="AL107" s="586"/>
      <c r="AM107" s="586"/>
      <c r="AN107" s="486"/>
      <c r="AO107" s="601"/>
      <c r="AP107" s="486"/>
      <c r="AQ107" s="602"/>
      <c r="AR107" s="486"/>
      <c r="AS107" s="586"/>
      <c r="AT107" s="586"/>
      <c r="AU107" s="586"/>
      <c r="AV107" s="486"/>
      <c r="AW107" s="601"/>
      <c r="AX107" s="486"/>
      <c r="AY107" s="602"/>
      <c r="AZ107" s="486"/>
      <c r="BA107" s="586"/>
      <c r="BB107" s="586"/>
      <c r="BC107" s="586"/>
      <c r="BD107" s="486"/>
      <c r="BE107" s="601"/>
      <c r="BF107" s="486"/>
      <c r="BG107" s="602"/>
      <c r="BH107" s="486"/>
      <c r="BI107" s="586"/>
      <c r="BJ107" s="586"/>
      <c r="BK107" s="586"/>
      <c r="BL107" s="486"/>
      <c r="BM107" s="601"/>
      <c r="BN107" s="486"/>
      <c r="BO107" s="602"/>
      <c r="BP107" s="486"/>
      <c r="BQ107" s="586"/>
      <c r="BR107" s="586"/>
      <c r="BS107" s="586"/>
      <c r="BT107" s="486"/>
      <c r="BU107" s="601"/>
      <c r="BV107" s="486"/>
      <c r="BW107" s="602"/>
      <c r="BX107" s="486"/>
      <c r="BY107" s="586"/>
      <c r="BZ107" s="586"/>
      <c r="CA107" s="586"/>
      <c r="CB107" s="486"/>
      <c r="CC107" s="601"/>
      <c r="CD107" s="486"/>
      <c r="CE107" s="602"/>
      <c r="CF107" s="486"/>
      <c r="CG107" s="586"/>
      <c r="CH107" s="586"/>
      <c r="CI107" s="586"/>
      <c r="CJ107" s="486"/>
      <c r="CK107" s="601"/>
      <c r="CL107" s="486"/>
      <c r="CM107" s="602"/>
      <c r="CN107" s="486"/>
      <c r="CO107" s="586"/>
      <c r="CP107" s="586"/>
      <c r="CQ107" s="586"/>
      <c r="CR107" s="486"/>
      <c r="CS107" s="601"/>
      <c r="CT107" s="486"/>
      <c r="CU107" s="602"/>
      <c r="CV107" s="486"/>
      <c r="CW107" s="586"/>
      <c r="CX107" s="586"/>
      <c r="CY107" s="586"/>
      <c r="CZ107" s="486"/>
      <c r="DA107" s="601"/>
      <c r="DB107" s="486"/>
      <c r="DC107" s="602"/>
      <c r="DD107" s="486"/>
      <c r="DE107" s="586"/>
      <c r="DF107" s="586"/>
      <c r="DG107" s="586"/>
      <c r="DH107" s="486"/>
      <c r="DI107" s="601"/>
      <c r="DJ107" s="486"/>
      <c r="DK107" s="602"/>
      <c r="DL107" s="486"/>
      <c r="DM107" s="586"/>
      <c r="DN107" s="586"/>
      <c r="DO107" s="586"/>
      <c r="DP107" s="486"/>
      <c r="DQ107" s="601"/>
      <c r="DR107" s="486"/>
      <c r="DS107" s="602"/>
      <c r="DT107" s="486"/>
      <c r="DU107" s="586"/>
      <c r="DV107" s="586"/>
      <c r="DW107" s="586"/>
      <c r="DX107" s="486"/>
      <c r="DY107" s="601"/>
      <c r="DZ107" s="486"/>
      <c r="EA107" s="602"/>
      <c r="EB107" s="486"/>
      <c r="EC107" s="586"/>
      <c r="ED107" s="586"/>
      <c r="EE107" s="586"/>
      <c r="EF107" s="486"/>
      <c r="EG107" s="601"/>
      <c r="EH107" s="486"/>
      <c r="EI107" s="602"/>
      <c r="EJ107" s="486"/>
      <c r="EK107" s="586"/>
      <c r="EL107" s="586"/>
      <c r="EM107" s="586"/>
      <c r="EN107" s="486"/>
      <c r="EO107" s="601"/>
      <c r="EP107" s="486"/>
      <c r="EQ107" s="602"/>
      <c r="ER107" s="486"/>
      <c r="ES107" s="586"/>
      <c r="ET107" s="586"/>
      <c r="EU107" s="586"/>
      <c r="EV107" s="486"/>
      <c r="EW107" s="601"/>
      <c r="EX107" s="486"/>
      <c r="EY107" s="602"/>
      <c r="EZ107" s="486"/>
      <c r="FA107" s="586"/>
      <c r="FB107" s="586"/>
      <c r="FC107" s="586"/>
      <c r="FD107" s="486"/>
      <c r="FE107" s="601"/>
      <c r="FF107" s="486"/>
      <c r="FG107" s="602"/>
      <c r="FH107" s="486"/>
      <c r="FI107" s="586"/>
      <c r="FJ107" s="586"/>
      <c r="FK107" s="586"/>
      <c r="FL107" s="486"/>
      <c r="FM107" s="601"/>
      <c r="FN107" s="486"/>
      <c r="FO107" s="602"/>
      <c r="FP107" s="486"/>
      <c r="FQ107" s="586"/>
      <c r="FR107" s="586"/>
      <c r="FS107" s="586"/>
      <c r="FT107" s="486"/>
      <c r="FU107" s="601"/>
      <c r="FV107" s="486"/>
      <c r="FW107" s="602"/>
      <c r="FX107" s="486"/>
      <c r="FY107" s="586"/>
      <c r="FZ107" s="586"/>
      <c r="GA107" s="586"/>
      <c r="GB107" s="486"/>
      <c r="GC107" s="601"/>
      <c r="GD107" s="486"/>
      <c r="GE107" s="602"/>
      <c r="GF107" s="486"/>
      <c r="GG107" s="586"/>
      <c r="GH107" s="586"/>
      <c r="GI107" s="586"/>
      <c r="GJ107" s="486"/>
      <c r="GK107" s="601"/>
      <c r="GL107" s="486"/>
      <c r="GM107" s="602"/>
      <c r="GN107" s="486"/>
      <c r="GO107" s="586"/>
      <c r="GP107" s="586"/>
      <c r="GQ107" s="586"/>
      <c r="GR107" s="486"/>
      <c r="GS107" s="601"/>
      <c r="GT107" s="486"/>
      <c r="GU107" s="602"/>
      <c r="GV107" s="486"/>
      <c r="GW107" s="586"/>
      <c r="GX107" s="586"/>
      <c r="GY107" s="586"/>
      <c r="GZ107" s="486"/>
      <c r="HA107" s="601"/>
      <c r="HB107" s="486"/>
      <c r="HC107" s="602"/>
      <c r="HD107" s="486"/>
      <c r="HE107" s="586"/>
      <c r="HF107" s="586"/>
      <c r="HG107" s="586"/>
      <c r="HH107" s="486"/>
      <c r="HI107" s="601"/>
      <c r="HJ107" s="486"/>
      <c r="HK107" s="602"/>
      <c r="HL107" s="486"/>
      <c r="HM107" s="586"/>
      <c r="HN107" s="586"/>
      <c r="HO107" s="586"/>
      <c r="HP107" s="486"/>
      <c r="HQ107" s="601"/>
      <c r="HR107" s="486"/>
      <c r="HS107" s="602"/>
      <c r="HT107" s="486"/>
      <c r="HU107" s="586"/>
      <c r="HV107" s="586"/>
      <c r="HW107" s="586"/>
      <c r="HX107" s="486"/>
      <c r="HY107" s="601"/>
      <c r="HZ107" s="486"/>
      <c r="IA107" s="602"/>
      <c r="IB107" s="486"/>
      <c r="IC107" s="586"/>
      <c r="ID107" s="586"/>
      <c r="IE107" s="586"/>
      <c r="IF107" s="486"/>
      <c r="IG107" s="601"/>
      <c r="IH107" s="486"/>
      <c r="II107" s="602"/>
      <c r="IJ107" s="486"/>
      <c r="IK107" s="586"/>
      <c r="IL107" s="586"/>
      <c r="IM107" s="586"/>
      <c r="IN107" s="486"/>
      <c r="IO107" s="601"/>
      <c r="IP107" s="486"/>
    </row>
    <row r="108" spans="1:250" s="244" customFormat="1" ht="14.1" customHeight="1">
      <c r="A108" s="332" t="s">
        <v>76</v>
      </c>
      <c r="B108" s="568">
        <v>75.950999999999993</v>
      </c>
      <c r="C108" s="596">
        <v>50.448999999999998</v>
      </c>
      <c r="D108" s="609">
        <v>127.872</v>
      </c>
      <c r="E108" s="596">
        <v>205.886</v>
      </c>
      <c r="F108" s="568">
        <v>267.51499999999999</v>
      </c>
      <c r="G108" s="605">
        <v>1679.114</v>
      </c>
      <c r="H108" s="604"/>
      <c r="I108" s="622">
        <v>2406.7870000000003</v>
      </c>
      <c r="J108" s="486"/>
      <c r="K108" s="602"/>
      <c r="L108" s="486"/>
      <c r="M108" s="586"/>
      <c r="N108" s="586"/>
      <c r="O108" s="586"/>
      <c r="P108" s="486"/>
      <c r="Q108" s="601"/>
      <c r="R108" s="486"/>
      <c r="S108" s="602"/>
      <c r="T108" s="486"/>
      <c r="U108" s="586"/>
      <c r="V108" s="586"/>
      <c r="W108" s="586"/>
      <c r="X108" s="486"/>
      <c r="Y108" s="601"/>
      <c r="Z108" s="486"/>
      <c r="AA108" s="602"/>
      <c r="AB108" s="486"/>
      <c r="AC108" s="586"/>
      <c r="AD108" s="586"/>
      <c r="AE108" s="586"/>
      <c r="AF108" s="486"/>
      <c r="AG108" s="601"/>
      <c r="AH108" s="486"/>
      <c r="AI108" s="602"/>
      <c r="AJ108" s="486"/>
      <c r="AK108" s="586"/>
      <c r="AL108" s="586"/>
      <c r="AM108" s="586"/>
      <c r="AN108" s="486"/>
      <c r="AO108" s="601"/>
      <c r="AP108" s="486"/>
      <c r="AQ108" s="602"/>
      <c r="AR108" s="486"/>
      <c r="AS108" s="586"/>
      <c r="AT108" s="586"/>
      <c r="AU108" s="586"/>
      <c r="AV108" s="486"/>
      <c r="AW108" s="601"/>
      <c r="AX108" s="486"/>
      <c r="AY108" s="602"/>
      <c r="AZ108" s="486"/>
      <c r="BA108" s="586"/>
      <c r="BB108" s="586"/>
      <c r="BC108" s="586"/>
      <c r="BD108" s="486"/>
      <c r="BE108" s="601"/>
      <c r="BF108" s="486"/>
      <c r="BG108" s="602"/>
      <c r="BH108" s="486"/>
      <c r="BI108" s="586"/>
      <c r="BJ108" s="586"/>
      <c r="BK108" s="586"/>
      <c r="BL108" s="486"/>
      <c r="BM108" s="601"/>
      <c r="BN108" s="486"/>
      <c r="BO108" s="602"/>
      <c r="BP108" s="486"/>
      <c r="BQ108" s="586"/>
      <c r="BR108" s="586"/>
      <c r="BS108" s="586"/>
      <c r="BT108" s="486"/>
      <c r="BU108" s="601"/>
      <c r="BV108" s="486"/>
      <c r="BW108" s="602"/>
      <c r="BX108" s="486"/>
      <c r="BY108" s="586"/>
      <c r="BZ108" s="586"/>
      <c r="CA108" s="586"/>
      <c r="CB108" s="486"/>
      <c r="CC108" s="601"/>
      <c r="CD108" s="486"/>
      <c r="CE108" s="602"/>
      <c r="CF108" s="486"/>
      <c r="CG108" s="586"/>
      <c r="CH108" s="586"/>
      <c r="CI108" s="586"/>
      <c r="CJ108" s="486"/>
      <c r="CK108" s="601"/>
      <c r="CL108" s="486"/>
      <c r="CM108" s="602"/>
      <c r="CN108" s="486"/>
      <c r="CO108" s="586"/>
      <c r="CP108" s="586"/>
      <c r="CQ108" s="586"/>
      <c r="CR108" s="486"/>
      <c r="CS108" s="601"/>
      <c r="CT108" s="486"/>
      <c r="CU108" s="602"/>
      <c r="CV108" s="486"/>
      <c r="CW108" s="586"/>
      <c r="CX108" s="586"/>
      <c r="CY108" s="586"/>
      <c r="CZ108" s="486"/>
      <c r="DA108" s="601"/>
      <c r="DB108" s="486"/>
      <c r="DC108" s="602"/>
      <c r="DD108" s="486"/>
      <c r="DE108" s="586"/>
      <c r="DF108" s="586"/>
      <c r="DG108" s="586"/>
      <c r="DH108" s="486"/>
      <c r="DI108" s="601"/>
      <c r="DJ108" s="486"/>
      <c r="DK108" s="602"/>
      <c r="DL108" s="486"/>
      <c r="DM108" s="586"/>
      <c r="DN108" s="586"/>
      <c r="DO108" s="586"/>
      <c r="DP108" s="486"/>
      <c r="DQ108" s="601"/>
      <c r="DR108" s="486"/>
      <c r="DS108" s="602"/>
      <c r="DT108" s="486"/>
      <c r="DU108" s="586"/>
      <c r="DV108" s="586"/>
      <c r="DW108" s="586"/>
      <c r="DX108" s="486"/>
      <c r="DY108" s="601"/>
      <c r="DZ108" s="486"/>
      <c r="EA108" s="602"/>
      <c r="EB108" s="486"/>
      <c r="EC108" s="586"/>
      <c r="ED108" s="586"/>
      <c r="EE108" s="586"/>
      <c r="EF108" s="486"/>
      <c r="EG108" s="601"/>
      <c r="EH108" s="486"/>
      <c r="EI108" s="602"/>
      <c r="EJ108" s="486"/>
      <c r="EK108" s="586"/>
      <c r="EL108" s="586"/>
      <c r="EM108" s="586"/>
      <c r="EN108" s="486"/>
      <c r="EO108" s="601"/>
      <c r="EP108" s="486"/>
      <c r="EQ108" s="602"/>
      <c r="ER108" s="486"/>
      <c r="ES108" s="586"/>
      <c r="ET108" s="586"/>
      <c r="EU108" s="586"/>
      <c r="EV108" s="486"/>
      <c r="EW108" s="601"/>
      <c r="EX108" s="486"/>
      <c r="EY108" s="602"/>
      <c r="EZ108" s="486"/>
      <c r="FA108" s="586"/>
      <c r="FB108" s="586"/>
      <c r="FC108" s="586"/>
      <c r="FD108" s="486"/>
      <c r="FE108" s="601"/>
      <c r="FF108" s="486"/>
      <c r="FG108" s="602"/>
      <c r="FH108" s="486"/>
      <c r="FI108" s="586"/>
      <c r="FJ108" s="586"/>
      <c r="FK108" s="586"/>
      <c r="FL108" s="486"/>
      <c r="FM108" s="601"/>
      <c r="FN108" s="486"/>
      <c r="FO108" s="602"/>
      <c r="FP108" s="486"/>
      <c r="FQ108" s="586"/>
      <c r="FR108" s="586"/>
      <c r="FS108" s="586"/>
      <c r="FT108" s="486"/>
      <c r="FU108" s="601"/>
      <c r="FV108" s="486"/>
      <c r="FW108" s="602"/>
      <c r="FX108" s="486"/>
      <c r="FY108" s="586"/>
      <c r="FZ108" s="586"/>
      <c r="GA108" s="586"/>
      <c r="GB108" s="486"/>
      <c r="GC108" s="601"/>
      <c r="GD108" s="486"/>
      <c r="GE108" s="602"/>
      <c r="GF108" s="486"/>
      <c r="GG108" s="586"/>
      <c r="GH108" s="586"/>
      <c r="GI108" s="586"/>
      <c r="GJ108" s="486"/>
      <c r="GK108" s="601"/>
      <c r="GL108" s="486"/>
      <c r="GM108" s="602"/>
      <c r="GN108" s="486"/>
      <c r="GO108" s="586"/>
      <c r="GP108" s="586"/>
      <c r="GQ108" s="586"/>
      <c r="GR108" s="486"/>
      <c r="GS108" s="601"/>
      <c r="GT108" s="486"/>
      <c r="GU108" s="602"/>
      <c r="GV108" s="486"/>
      <c r="GW108" s="586"/>
      <c r="GX108" s="586"/>
      <c r="GY108" s="586"/>
      <c r="GZ108" s="486"/>
      <c r="HA108" s="601"/>
      <c r="HB108" s="486"/>
      <c r="HC108" s="602"/>
      <c r="HD108" s="486"/>
      <c r="HE108" s="586"/>
      <c r="HF108" s="586"/>
      <c r="HG108" s="586"/>
      <c r="HH108" s="486"/>
      <c r="HI108" s="601"/>
      <c r="HJ108" s="486"/>
      <c r="HK108" s="602"/>
      <c r="HL108" s="486"/>
      <c r="HM108" s="586"/>
      <c r="HN108" s="586"/>
      <c r="HO108" s="586"/>
      <c r="HP108" s="486"/>
      <c r="HQ108" s="601"/>
      <c r="HR108" s="486"/>
      <c r="HS108" s="602"/>
      <c r="HT108" s="486"/>
      <c r="HU108" s="586"/>
      <c r="HV108" s="586"/>
      <c r="HW108" s="586"/>
      <c r="HX108" s="486"/>
      <c r="HY108" s="601"/>
      <c r="HZ108" s="486"/>
      <c r="IA108" s="602"/>
      <c r="IB108" s="486"/>
      <c r="IC108" s="586"/>
      <c r="ID108" s="586"/>
      <c r="IE108" s="586"/>
      <c r="IF108" s="486"/>
      <c r="IG108" s="601"/>
      <c r="IH108" s="486"/>
      <c r="II108" s="602"/>
      <c r="IJ108" s="486"/>
      <c r="IK108" s="586"/>
      <c r="IL108" s="586"/>
      <c r="IM108" s="586"/>
      <c r="IN108" s="486"/>
      <c r="IO108" s="601"/>
      <c r="IP108" s="486"/>
    </row>
    <row r="109" spans="1:250" s="244" customFormat="1" ht="14.1" customHeight="1">
      <c r="A109" s="332" t="s">
        <v>77</v>
      </c>
      <c r="B109" s="568">
        <v>72.111999999999995</v>
      </c>
      <c r="C109" s="596">
        <v>47.749000000000002</v>
      </c>
      <c r="D109" s="609">
        <v>125.998</v>
      </c>
      <c r="E109" s="596">
        <v>162.02500000000001</v>
      </c>
      <c r="F109" s="568">
        <v>401.31900000000002</v>
      </c>
      <c r="G109" s="605">
        <v>1481.3440000000001</v>
      </c>
      <c r="H109" s="604"/>
      <c r="I109" s="622">
        <v>2290.547</v>
      </c>
      <c r="J109" s="486"/>
      <c r="K109" s="602"/>
      <c r="L109" s="486"/>
      <c r="M109" s="586"/>
      <c r="N109" s="586"/>
      <c r="O109" s="586"/>
      <c r="P109" s="486"/>
      <c r="Q109" s="601"/>
      <c r="R109" s="486"/>
      <c r="S109" s="602"/>
      <c r="T109" s="486"/>
      <c r="U109" s="586"/>
      <c r="V109" s="586"/>
      <c r="W109" s="586"/>
      <c r="X109" s="486"/>
      <c r="Y109" s="601"/>
      <c r="Z109" s="486"/>
      <c r="AA109" s="602"/>
      <c r="AB109" s="486"/>
      <c r="AC109" s="586"/>
      <c r="AD109" s="586"/>
      <c r="AE109" s="586"/>
      <c r="AF109" s="486"/>
      <c r="AG109" s="601"/>
      <c r="AH109" s="486"/>
      <c r="AI109" s="602"/>
      <c r="AJ109" s="486"/>
      <c r="AK109" s="586"/>
      <c r="AL109" s="586"/>
      <c r="AM109" s="586"/>
      <c r="AN109" s="486"/>
      <c r="AO109" s="601"/>
      <c r="AP109" s="486"/>
      <c r="AQ109" s="602"/>
      <c r="AR109" s="486"/>
      <c r="AS109" s="586"/>
      <c r="AT109" s="586"/>
      <c r="AU109" s="586"/>
      <c r="AV109" s="486"/>
      <c r="AW109" s="601"/>
      <c r="AX109" s="486"/>
      <c r="AY109" s="602"/>
      <c r="AZ109" s="486"/>
      <c r="BA109" s="586"/>
      <c r="BB109" s="586"/>
      <c r="BC109" s="586"/>
      <c r="BD109" s="486"/>
      <c r="BE109" s="601"/>
      <c r="BF109" s="486"/>
      <c r="BG109" s="602"/>
      <c r="BH109" s="486"/>
      <c r="BI109" s="586"/>
      <c r="BJ109" s="586"/>
      <c r="BK109" s="586"/>
      <c r="BL109" s="486"/>
      <c r="BM109" s="601"/>
      <c r="BN109" s="486"/>
      <c r="BO109" s="602"/>
      <c r="BP109" s="486"/>
      <c r="BQ109" s="586"/>
      <c r="BR109" s="586"/>
      <c r="BS109" s="586"/>
      <c r="BT109" s="486"/>
      <c r="BU109" s="601"/>
      <c r="BV109" s="486"/>
      <c r="BW109" s="602"/>
      <c r="BX109" s="486"/>
      <c r="BY109" s="586"/>
      <c r="BZ109" s="586"/>
      <c r="CA109" s="586"/>
      <c r="CB109" s="486"/>
      <c r="CC109" s="601"/>
      <c r="CD109" s="486"/>
      <c r="CE109" s="602"/>
      <c r="CF109" s="486"/>
      <c r="CG109" s="586"/>
      <c r="CH109" s="586"/>
      <c r="CI109" s="586"/>
      <c r="CJ109" s="486"/>
      <c r="CK109" s="601"/>
      <c r="CL109" s="486"/>
      <c r="CM109" s="602"/>
      <c r="CN109" s="486"/>
      <c r="CO109" s="586"/>
      <c r="CP109" s="586"/>
      <c r="CQ109" s="586"/>
      <c r="CR109" s="486"/>
      <c r="CS109" s="601"/>
      <c r="CT109" s="486"/>
      <c r="CU109" s="602"/>
      <c r="CV109" s="486"/>
      <c r="CW109" s="586"/>
      <c r="CX109" s="586"/>
      <c r="CY109" s="586"/>
      <c r="CZ109" s="486"/>
      <c r="DA109" s="601"/>
      <c r="DB109" s="486"/>
      <c r="DC109" s="602"/>
      <c r="DD109" s="486"/>
      <c r="DE109" s="586"/>
      <c r="DF109" s="586"/>
      <c r="DG109" s="586"/>
      <c r="DH109" s="486"/>
      <c r="DI109" s="601"/>
      <c r="DJ109" s="486"/>
      <c r="DK109" s="602"/>
      <c r="DL109" s="486"/>
      <c r="DM109" s="586"/>
      <c r="DN109" s="586"/>
      <c r="DO109" s="586"/>
      <c r="DP109" s="486"/>
      <c r="DQ109" s="601"/>
      <c r="DR109" s="486"/>
      <c r="DS109" s="602"/>
      <c r="DT109" s="486"/>
      <c r="DU109" s="586"/>
      <c r="DV109" s="586"/>
      <c r="DW109" s="586"/>
      <c r="DX109" s="486"/>
      <c r="DY109" s="601"/>
      <c r="DZ109" s="486"/>
      <c r="EA109" s="602"/>
      <c r="EB109" s="486"/>
      <c r="EC109" s="586"/>
      <c r="ED109" s="586"/>
      <c r="EE109" s="586"/>
      <c r="EF109" s="486"/>
      <c r="EG109" s="601"/>
      <c r="EH109" s="486"/>
      <c r="EI109" s="602"/>
      <c r="EJ109" s="486"/>
      <c r="EK109" s="586"/>
      <c r="EL109" s="586"/>
      <c r="EM109" s="586"/>
      <c r="EN109" s="486"/>
      <c r="EO109" s="601"/>
      <c r="EP109" s="486"/>
      <c r="EQ109" s="602"/>
      <c r="ER109" s="486"/>
      <c r="ES109" s="586"/>
      <c r="ET109" s="586"/>
      <c r="EU109" s="586"/>
      <c r="EV109" s="486"/>
      <c r="EW109" s="601"/>
      <c r="EX109" s="486"/>
      <c r="EY109" s="602"/>
      <c r="EZ109" s="486"/>
      <c r="FA109" s="586"/>
      <c r="FB109" s="586"/>
      <c r="FC109" s="586"/>
      <c r="FD109" s="486"/>
      <c r="FE109" s="601"/>
      <c r="FF109" s="486"/>
      <c r="FG109" s="602"/>
      <c r="FH109" s="486"/>
      <c r="FI109" s="586"/>
      <c r="FJ109" s="586"/>
      <c r="FK109" s="586"/>
      <c r="FL109" s="486"/>
      <c r="FM109" s="601"/>
      <c r="FN109" s="486"/>
      <c r="FO109" s="602"/>
      <c r="FP109" s="486"/>
      <c r="FQ109" s="586"/>
      <c r="FR109" s="586"/>
      <c r="FS109" s="586"/>
      <c r="FT109" s="486"/>
      <c r="FU109" s="601"/>
      <c r="FV109" s="486"/>
      <c r="FW109" s="602"/>
      <c r="FX109" s="486"/>
      <c r="FY109" s="586"/>
      <c r="FZ109" s="586"/>
      <c r="GA109" s="586"/>
      <c r="GB109" s="486"/>
      <c r="GC109" s="601"/>
      <c r="GD109" s="486"/>
      <c r="GE109" s="602"/>
      <c r="GF109" s="486"/>
      <c r="GG109" s="586"/>
      <c r="GH109" s="586"/>
      <c r="GI109" s="586"/>
      <c r="GJ109" s="486"/>
      <c r="GK109" s="601"/>
      <c r="GL109" s="486"/>
      <c r="GM109" s="602"/>
      <c r="GN109" s="486"/>
      <c r="GO109" s="586"/>
      <c r="GP109" s="586"/>
      <c r="GQ109" s="586"/>
      <c r="GR109" s="486"/>
      <c r="GS109" s="601"/>
      <c r="GT109" s="486"/>
      <c r="GU109" s="602"/>
      <c r="GV109" s="486"/>
      <c r="GW109" s="586"/>
      <c r="GX109" s="586"/>
      <c r="GY109" s="586"/>
      <c r="GZ109" s="486"/>
      <c r="HA109" s="601"/>
      <c r="HB109" s="486"/>
      <c r="HC109" s="602"/>
      <c r="HD109" s="486"/>
      <c r="HE109" s="586"/>
      <c r="HF109" s="586"/>
      <c r="HG109" s="586"/>
      <c r="HH109" s="486"/>
      <c r="HI109" s="601"/>
      <c r="HJ109" s="486"/>
      <c r="HK109" s="602"/>
      <c r="HL109" s="486"/>
      <c r="HM109" s="586"/>
      <c r="HN109" s="586"/>
      <c r="HO109" s="586"/>
      <c r="HP109" s="486"/>
      <c r="HQ109" s="601"/>
      <c r="HR109" s="486"/>
      <c r="HS109" s="602"/>
      <c r="HT109" s="486"/>
      <c r="HU109" s="586"/>
      <c r="HV109" s="586"/>
      <c r="HW109" s="586"/>
      <c r="HX109" s="486"/>
      <c r="HY109" s="601"/>
      <c r="HZ109" s="486"/>
      <c r="IA109" s="602"/>
      <c r="IB109" s="486"/>
      <c r="IC109" s="586"/>
      <c r="ID109" s="586"/>
      <c r="IE109" s="586"/>
      <c r="IF109" s="486"/>
      <c r="IG109" s="601"/>
      <c r="IH109" s="486"/>
      <c r="II109" s="602"/>
      <c r="IJ109" s="486"/>
      <c r="IK109" s="586"/>
      <c r="IL109" s="586"/>
      <c r="IM109" s="586"/>
      <c r="IN109" s="486"/>
      <c r="IO109" s="601"/>
      <c r="IP109" s="486"/>
    </row>
    <row r="110" spans="1:250" s="244" customFormat="1" ht="14.1" customHeight="1">
      <c r="A110" s="332" t="s">
        <v>78</v>
      </c>
      <c r="B110" s="568">
        <v>67.617999999999995</v>
      </c>
      <c r="C110" s="596">
        <v>57.454000000000001</v>
      </c>
      <c r="D110" s="609">
        <v>118.962</v>
      </c>
      <c r="E110" s="596">
        <v>162.20500000000001</v>
      </c>
      <c r="F110" s="568">
        <v>419.23500000000001</v>
      </c>
      <c r="G110" s="605">
        <v>1494.7529999999999</v>
      </c>
      <c r="H110" s="604"/>
      <c r="I110" s="622">
        <v>2320.2269999999999</v>
      </c>
      <c r="J110" s="486"/>
      <c r="K110" s="602"/>
      <c r="L110" s="486"/>
      <c r="M110" s="586"/>
      <c r="N110" s="586"/>
      <c r="O110" s="586"/>
      <c r="P110" s="486"/>
      <c r="Q110" s="601"/>
      <c r="R110" s="486"/>
      <c r="S110" s="602"/>
      <c r="T110" s="486"/>
      <c r="U110" s="586"/>
      <c r="V110" s="586"/>
      <c r="W110" s="586"/>
      <c r="X110" s="486"/>
      <c r="Y110" s="601"/>
      <c r="Z110" s="486"/>
      <c r="AA110" s="602"/>
      <c r="AB110" s="486"/>
      <c r="AC110" s="586"/>
      <c r="AD110" s="586"/>
      <c r="AE110" s="586"/>
      <c r="AF110" s="486"/>
      <c r="AG110" s="601"/>
      <c r="AH110" s="486"/>
      <c r="AI110" s="602"/>
      <c r="AJ110" s="486"/>
      <c r="AK110" s="586"/>
      <c r="AL110" s="586"/>
      <c r="AM110" s="586"/>
      <c r="AN110" s="486"/>
      <c r="AO110" s="601"/>
      <c r="AP110" s="486"/>
      <c r="AQ110" s="602"/>
      <c r="AR110" s="486"/>
      <c r="AS110" s="586"/>
      <c r="AT110" s="586"/>
      <c r="AU110" s="586"/>
      <c r="AV110" s="486"/>
      <c r="AW110" s="601"/>
      <c r="AX110" s="486"/>
      <c r="AY110" s="602"/>
      <c r="AZ110" s="486"/>
      <c r="BA110" s="586"/>
      <c r="BB110" s="586"/>
      <c r="BC110" s="586"/>
      <c r="BD110" s="486"/>
      <c r="BE110" s="601"/>
      <c r="BF110" s="486"/>
      <c r="BG110" s="602"/>
      <c r="BH110" s="486"/>
      <c r="BI110" s="586"/>
      <c r="BJ110" s="586"/>
      <c r="BK110" s="586"/>
      <c r="BL110" s="486"/>
      <c r="BM110" s="601"/>
      <c r="BN110" s="486"/>
      <c r="BO110" s="602"/>
      <c r="BP110" s="486"/>
      <c r="BQ110" s="586"/>
      <c r="BR110" s="586"/>
      <c r="BS110" s="586"/>
      <c r="BT110" s="486"/>
      <c r="BU110" s="601"/>
      <c r="BV110" s="486"/>
      <c r="BW110" s="602"/>
      <c r="BX110" s="486"/>
      <c r="BY110" s="586"/>
      <c r="BZ110" s="586"/>
      <c r="CA110" s="586"/>
      <c r="CB110" s="486"/>
      <c r="CC110" s="601"/>
      <c r="CD110" s="486"/>
      <c r="CE110" s="602"/>
      <c r="CF110" s="486"/>
      <c r="CG110" s="586"/>
      <c r="CH110" s="586"/>
      <c r="CI110" s="586"/>
      <c r="CJ110" s="486"/>
      <c r="CK110" s="601"/>
      <c r="CL110" s="486"/>
      <c r="CM110" s="602"/>
      <c r="CN110" s="486"/>
      <c r="CO110" s="586"/>
      <c r="CP110" s="586"/>
      <c r="CQ110" s="586"/>
      <c r="CR110" s="486"/>
      <c r="CS110" s="601"/>
      <c r="CT110" s="486"/>
      <c r="CU110" s="602"/>
      <c r="CV110" s="486"/>
      <c r="CW110" s="586"/>
      <c r="CX110" s="586"/>
      <c r="CY110" s="586"/>
      <c r="CZ110" s="486"/>
      <c r="DA110" s="601"/>
      <c r="DB110" s="486"/>
      <c r="DC110" s="602"/>
      <c r="DD110" s="486"/>
      <c r="DE110" s="586"/>
      <c r="DF110" s="586"/>
      <c r="DG110" s="586"/>
      <c r="DH110" s="486"/>
      <c r="DI110" s="601"/>
      <c r="DJ110" s="486"/>
      <c r="DK110" s="602"/>
      <c r="DL110" s="486"/>
      <c r="DM110" s="586"/>
      <c r="DN110" s="586"/>
      <c r="DO110" s="586"/>
      <c r="DP110" s="486"/>
      <c r="DQ110" s="601"/>
      <c r="DR110" s="486"/>
      <c r="DS110" s="602"/>
      <c r="DT110" s="486"/>
      <c r="DU110" s="586"/>
      <c r="DV110" s="586"/>
      <c r="DW110" s="586"/>
      <c r="DX110" s="486"/>
      <c r="DY110" s="601"/>
      <c r="DZ110" s="486"/>
      <c r="EA110" s="602"/>
      <c r="EB110" s="486"/>
      <c r="EC110" s="586"/>
      <c r="ED110" s="586"/>
      <c r="EE110" s="586"/>
      <c r="EF110" s="486"/>
      <c r="EG110" s="601"/>
      <c r="EH110" s="486"/>
      <c r="EI110" s="602"/>
      <c r="EJ110" s="486"/>
      <c r="EK110" s="586"/>
      <c r="EL110" s="586"/>
      <c r="EM110" s="586"/>
      <c r="EN110" s="486"/>
      <c r="EO110" s="601"/>
      <c r="EP110" s="486"/>
      <c r="EQ110" s="602"/>
      <c r="ER110" s="486"/>
      <c r="ES110" s="586"/>
      <c r="ET110" s="586"/>
      <c r="EU110" s="586"/>
      <c r="EV110" s="486"/>
      <c r="EW110" s="601"/>
      <c r="EX110" s="486"/>
      <c r="EY110" s="602"/>
      <c r="EZ110" s="486"/>
      <c r="FA110" s="586"/>
      <c r="FB110" s="586"/>
      <c r="FC110" s="586"/>
      <c r="FD110" s="486"/>
      <c r="FE110" s="601"/>
      <c r="FF110" s="486"/>
      <c r="FG110" s="602"/>
      <c r="FH110" s="486"/>
      <c r="FI110" s="586"/>
      <c r="FJ110" s="586"/>
      <c r="FK110" s="586"/>
      <c r="FL110" s="486"/>
      <c r="FM110" s="601"/>
      <c r="FN110" s="486"/>
      <c r="FO110" s="602"/>
      <c r="FP110" s="486"/>
      <c r="FQ110" s="586"/>
      <c r="FR110" s="586"/>
      <c r="FS110" s="586"/>
      <c r="FT110" s="486"/>
      <c r="FU110" s="601"/>
      <c r="FV110" s="486"/>
      <c r="FW110" s="602"/>
      <c r="FX110" s="486"/>
      <c r="FY110" s="586"/>
      <c r="FZ110" s="586"/>
      <c r="GA110" s="586"/>
      <c r="GB110" s="486"/>
      <c r="GC110" s="601"/>
      <c r="GD110" s="486"/>
      <c r="GE110" s="602"/>
      <c r="GF110" s="486"/>
      <c r="GG110" s="586"/>
      <c r="GH110" s="586"/>
      <c r="GI110" s="586"/>
      <c r="GJ110" s="486"/>
      <c r="GK110" s="601"/>
      <c r="GL110" s="486"/>
      <c r="GM110" s="602"/>
      <c r="GN110" s="486"/>
      <c r="GO110" s="586"/>
      <c r="GP110" s="586"/>
      <c r="GQ110" s="586"/>
      <c r="GR110" s="486"/>
      <c r="GS110" s="601"/>
      <c r="GT110" s="486"/>
      <c r="GU110" s="602"/>
      <c r="GV110" s="486"/>
      <c r="GW110" s="586"/>
      <c r="GX110" s="586"/>
      <c r="GY110" s="586"/>
      <c r="GZ110" s="486"/>
      <c r="HA110" s="601"/>
      <c r="HB110" s="486"/>
      <c r="HC110" s="602"/>
      <c r="HD110" s="486"/>
      <c r="HE110" s="586"/>
      <c r="HF110" s="586"/>
      <c r="HG110" s="586"/>
      <c r="HH110" s="486"/>
      <c r="HI110" s="601"/>
      <c r="HJ110" s="486"/>
      <c r="HK110" s="602"/>
      <c r="HL110" s="486"/>
      <c r="HM110" s="586"/>
      <c r="HN110" s="586"/>
      <c r="HO110" s="586"/>
      <c r="HP110" s="486"/>
      <c r="HQ110" s="601"/>
      <c r="HR110" s="486"/>
      <c r="HS110" s="602"/>
      <c r="HT110" s="486"/>
      <c r="HU110" s="586"/>
      <c r="HV110" s="586"/>
      <c r="HW110" s="586"/>
      <c r="HX110" s="486"/>
      <c r="HY110" s="601"/>
      <c r="HZ110" s="486"/>
      <c r="IA110" s="602"/>
      <c r="IB110" s="486"/>
      <c r="IC110" s="586"/>
      <c r="ID110" s="586"/>
      <c r="IE110" s="586"/>
      <c r="IF110" s="486"/>
      <c r="IG110" s="601"/>
      <c r="IH110" s="486"/>
      <c r="II110" s="602"/>
      <c r="IJ110" s="486"/>
      <c r="IK110" s="586"/>
      <c r="IL110" s="586"/>
      <c r="IM110" s="586"/>
      <c r="IN110" s="486"/>
      <c r="IO110" s="601"/>
      <c r="IP110" s="486"/>
    </row>
    <row r="111" spans="1:250" s="244" customFormat="1" ht="14.1" customHeight="1">
      <c r="A111" s="332" t="s">
        <v>79</v>
      </c>
      <c r="B111" s="568">
        <v>76.058999999999997</v>
      </c>
      <c r="C111" s="596">
        <v>38.834000000000003</v>
      </c>
      <c r="D111" s="609">
        <v>143.61500000000001</v>
      </c>
      <c r="E111" s="596">
        <v>128.095</v>
      </c>
      <c r="F111" s="568">
        <v>510.49299999999999</v>
      </c>
      <c r="G111" s="605">
        <v>1442.3530000000001</v>
      </c>
      <c r="H111" s="604"/>
      <c r="I111" s="622">
        <v>2339.4490000000001</v>
      </c>
      <c r="J111" s="486"/>
      <c r="K111" s="602"/>
      <c r="L111" s="486"/>
      <c r="M111" s="586"/>
      <c r="N111" s="586"/>
      <c r="O111" s="586"/>
      <c r="P111" s="486"/>
      <c r="Q111" s="601"/>
      <c r="R111" s="486"/>
      <c r="S111" s="602"/>
      <c r="T111" s="486"/>
      <c r="U111" s="586"/>
      <c r="V111" s="586"/>
      <c r="W111" s="586"/>
      <c r="X111" s="486"/>
      <c r="Y111" s="601"/>
      <c r="Z111" s="486"/>
      <c r="AA111" s="602"/>
      <c r="AB111" s="486"/>
      <c r="AC111" s="586"/>
      <c r="AD111" s="586"/>
      <c r="AE111" s="586"/>
      <c r="AF111" s="486"/>
      <c r="AG111" s="601"/>
      <c r="AH111" s="486"/>
      <c r="AI111" s="602"/>
      <c r="AJ111" s="486"/>
      <c r="AK111" s="586"/>
      <c r="AL111" s="586"/>
      <c r="AM111" s="586"/>
      <c r="AN111" s="486"/>
      <c r="AO111" s="601"/>
      <c r="AP111" s="486"/>
      <c r="AQ111" s="602"/>
      <c r="AR111" s="486"/>
      <c r="AS111" s="586"/>
      <c r="AT111" s="586"/>
      <c r="AU111" s="586"/>
      <c r="AV111" s="486"/>
      <c r="AW111" s="601"/>
      <c r="AX111" s="486"/>
      <c r="AY111" s="602"/>
      <c r="AZ111" s="486"/>
      <c r="BA111" s="586"/>
      <c r="BB111" s="586"/>
      <c r="BC111" s="586"/>
      <c r="BD111" s="486"/>
      <c r="BE111" s="601"/>
      <c r="BF111" s="486"/>
      <c r="BG111" s="602"/>
      <c r="BH111" s="486"/>
      <c r="BI111" s="586"/>
      <c r="BJ111" s="586"/>
      <c r="BK111" s="586"/>
      <c r="BL111" s="486"/>
      <c r="BM111" s="601"/>
      <c r="BN111" s="486"/>
      <c r="BO111" s="602"/>
      <c r="BP111" s="486"/>
      <c r="BQ111" s="586"/>
      <c r="BR111" s="586"/>
      <c r="BS111" s="586"/>
      <c r="BT111" s="486"/>
      <c r="BU111" s="601"/>
      <c r="BV111" s="486"/>
      <c r="BW111" s="602"/>
      <c r="BX111" s="486"/>
      <c r="BY111" s="586"/>
      <c r="BZ111" s="586"/>
      <c r="CA111" s="586"/>
      <c r="CB111" s="486"/>
      <c r="CC111" s="601"/>
      <c r="CD111" s="486"/>
      <c r="CE111" s="602"/>
      <c r="CF111" s="486"/>
      <c r="CG111" s="586"/>
      <c r="CH111" s="586"/>
      <c r="CI111" s="586"/>
      <c r="CJ111" s="486"/>
      <c r="CK111" s="601"/>
      <c r="CL111" s="486"/>
      <c r="CM111" s="602"/>
      <c r="CN111" s="486"/>
      <c r="CO111" s="586"/>
      <c r="CP111" s="586"/>
      <c r="CQ111" s="586"/>
      <c r="CR111" s="486"/>
      <c r="CS111" s="601"/>
      <c r="CT111" s="486"/>
      <c r="CU111" s="602"/>
      <c r="CV111" s="486"/>
      <c r="CW111" s="586"/>
      <c r="CX111" s="586"/>
      <c r="CY111" s="586"/>
      <c r="CZ111" s="486"/>
      <c r="DA111" s="601"/>
      <c r="DB111" s="486"/>
      <c r="DC111" s="602"/>
      <c r="DD111" s="486"/>
      <c r="DE111" s="586"/>
      <c r="DF111" s="586"/>
      <c r="DG111" s="586"/>
      <c r="DH111" s="486"/>
      <c r="DI111" s="601"/>
      <c r="DJ111" s="486"/>
      <c r="DK111" s="602"/>
      <c r="DL111" s="486"/>
      <c r="DM111" s="586"/>
      <c r="DN111" s="586"/>
      <c r="DO111" s="586"/>
      <c r="DP111" s="486"/>
      <c r="DQ111" s="601"/>
      <c r="DR111" s="486"/>
      <c r="DS111" s="602"/>
      <c r="DT111" s="486"/>
      <c r="DU111" s="586"/>
      <c r="DV111" s="586"/>
      <c r="DW111" s="586"/>
      <c r="DX111" s="486"/>
      <c r="DY111" s="601"/>
      <c r="DZ111" s="486"/>
      <c r="EA111" s="602"/>
      <c r="EB111" s="486"/>
      <c r="EC111" s="586"/>
      <c r="ED111" s="586"/>
      <c r="EE111" s="586"/>
      <c r="EF111" s="486"/>
      <c r="EG111" s="601"/>
      <c r="EH111" s="486"/>
      <c r="EI111" s="602"/>
      <c r="EJ111" s="486"/>
      <c r="EK111" s="586"/>
      <c r="EL111" s="586"/>
      <c r="EM111" s="586"/>
      <c r="EN111" s="486"/>
      <c r="EO111" s="601"/>
      <c r="EP111" s="486"/>
      <c r="EQ111" s="602"/>
      <c r="ER111" s="486"/>
      <c r="ES111" s="586"/>
      <c r="ET111" s="586"/>
      <c r="EU111" s="586"/>
      <c r="EV111" s="486"/>
      <c r="EW111" s="601"/>
      <c r="EX111" s="486"/>
      <c r="EY111" s="602"/>
      <c r="EZ111" s="486"/>
      <c r="FA111" s="586"/>
      <c r="FB111" s="586"/>
      <c r="FC111" s="586"/>
      <c r="FD111" s="486"/>
      <c r="FE111" s="601"/>
      <c r="FF111" s="486"/>
      <c r="FG111" s="602"/>
      <c r="FH111" s="486"/>
      <c r="FI111" s="586"/>
      <c r="FJ111" s="586"/>
      <c r="FK111" s="586"/>
      <c r="FL111" s="486"/>
      <c r="FM111" s="601"/>
      <c r="FN111" s="486"/>
      <c r="FO111" s="602"/>
      <c r="FP111" s="486"/>
      <c r="FQ111" s="586"/>
      <c r="FR111" s="586"/>
      <c r="FS111" s="586"/>
      <c r="FT111" s="486"/>
      <c r="FU111" s="601"/>
      <c r="FV111" s="486"/>
      <c r="FW111" s="602"/>
      <c r="FX111" s="486"/>
      <c r="FY111" s="586"/>
      <c r="FZ111" s="586"/>
      <c r="GA111" s="586"/>
      <c r="GB111" s="486"/>
      <c r="GC111" s="601"/>
      <c r="GD111" s="486"/>
      <c r="GE111" s="602"/>
      <c r="GF111" s="486"/>
      <c r="GG111" s="586"/>
      <c r="GH111" s="586"/>
      <c r="GI111" s="586"/>
      <c r="GJ111" s="486"/>
      <c r="GK111" s="601"/>
      <c r="GL111" s="486"/>
      <c r="GM111" s="602"/>
      <c r="GN111" s="486"/>
      <c r="GO111" s="586"/>
      <c r="GP111" s="586"/>
      <c r="GQ111" s="586"/>
      <c r="GR111" s="486"/>
      <c r="GS111" s="601"/>
      <c r="GT111" s="486"/>
      <c r="GU111" s="602"/>
      <c r="GV111" s="486"/>
      <c r="GW111" s="586"/>
      <c r="GX111" s="586"/>
      <c r="GY111" s="586"/>
      <c r="GZ111" s="486"/>
      <c r="HA111" s="601"/>
      <c r="HB111" s="486"/>
      <c r="HC111" s="602"/>
      <c r="HD111" s="486"/>
      <c r="HE111" s="586"/>
      <c r="HF111" s="586"/>
      <c r="HG111" s="586"/>
      <c r="HH111" s="486"/>
      <c r="HI111" s="601"/>
      <c r="HJ111" s="486"/>
      <c r="HK111" s="602"/>
      <c r="HL111" s="486"/>
      <c r="HM111" s="586"/>
      <c r="HN111" s="586"/>
      <c r="HO111" s="586"/>
      <c r="HP111" s="486"/>
      <c r="HQ111" s="601"/>
      <c r="HR111" s="486"/>
      <c r="HS111" s="602"/>
      <c r="HT111" s="486"/>
      <c r="HU111" s="586"/>
      <c r="HV111" s="586"/>
      <c r="HW111" s="586"/>
      <c r="HX111" s="486"/>
      <c r="HY111" s="601"/>
      <c r="HZ111" s="486"/>
      <c r="IA111" s="602"/>
      <c r="IB111" s="486"/>
      <c r="IC111" s="586"/>
      <c r="ID111" s="586"/>
      <c r="IE111" s="586"/>
      <c r="IF111" s="486"/>
      <c r="IG111" s="601"/>
      <c r="IH111" s="486"/>
      <c r="II111" s="602"/>
      <c r="IJ111" s="486"/>
      <c r="IK111" s="586"/>
      <c r="IL111" s="586"/>
      <c r="IM111" s="586"/>
      <c r="IN111" s="486"/>
      <c r="IO111" s="601"/>
      <c r="IP111" s="486"/>
    </row>
    <row r="112" spans="1:250" s="244" customFormat="1" ht="14.1" customHeight="1">
      <c r="A112" s="332" t="s">
        <v>80</v>
      </c>
      <c r="B112" s="568">
        <v>55.834000000000003</v>
      </c>
      <c r="C112" s="624">
        <v>34.171999999999997</v>
      </c>
      <c r="D112" s="596">
        <v>121.93899999999999</v>
      </c>
      <c r="E112" s="625">
        <v>197.39699999999999</v>
      </c>
      <c r="F112" s="568">
        <v>369.697</v>
      </c>
      <c r="G112" s="549">
        <v>420.89499999999998</v>
      </c>
      <c r="H112" s="568">
        <v>1257.0050000000001</v>
      </c>
      <c r="I112" s="606">
        <v>2456.9390000000003</v>
      </c>
      <c r="J112" s="486"/>
      <c r="K112" s="602"/>
      <c r="L112" s="486"/>
      <c r="M112" s="608"/>
      <c r="N112" s="586"/>
      <c r="O112" s="608"/>
      <c r="P112" s="486"/>
      <c r="Q112" s="601"/>
      <c r="R112" s="486"/>
      <c r="S112" s="602"/>
      <c r="T112" s="486"/>
      <c r="U112" s="608"/>
      <c r="V112" s="586"/>
      <c r="W112" s="608"/>
      <c r="X112" s="486"/>
      <c r="Y112" s="601"/>
      <c r="Z112" s="486"/>
      <c r="AA112" s="602"/>
      <c r="AB112" s="486"/>
      <c r="AC112" s="608"/>
      <c r="AD112" s="586"/>
      <c r="AE112" s="608"/>
      <c r="AF112" s="486"/>
      <c r="AG112" s="601"/>
      <c r="AH112" s="486"/>
      <c r="AI112" s="602"/>
      <c r="AJ112" s="486"/>
      <c r="AK112" s="608"/>
      <c r="AL112" s="586"/>
      <c r="AM112" s="608"/>
      <c r="AN112" s="486"/>
      <c r="AO112" s="601"/>
      <c r="AP112" s="486"/>
      <c r="AQ112" s="602"/>
      <c r="AR112" s="486"/>
      <c r="AS112" s="608"/>
      <c r="AT112" s="586"/>
      <c r="AU112" s="608"/>
      <c r="AV112" s="486"/>
      <c r="AW112" s="601"/>
      <c r="AX112" s="486"/>
      <c r="AY112" s="602"/>
      <c r="AZ112" s="486"/>
      <c r="BA112" s="608"/>
      <c r="BB112" s="586"/>
      <c r="BC112" s="608"/>
      <c r="BD112" s="486"/>
      <c r="BE112" s="601"/>
      <c r="BF112" s="486"/>
      <c r="BG112" s="602"/>
      <c r="BH112" s="486"/>
      <c r="BI112" s="608"/>
      <c r="BJ112" s="586"/>
      <c r="BK112" s="608"/>
      <c r="BL112" s="486"/>
      <c r="BM112" s="601"/>
      <c r="BN112" s="486"/>
      <c r="BO112" s="602"/>
      <c r="BP112" s="486"/>
      <c r="BQ112" s="608"/>
      <c r="BR112" s="586"/>
      <c r="BS112" s="608"/>
      <c r="BT112" s="486"/>
      <c r="BU112" s="601"/>
      <c r="BV112" s="486"/>
      <c r="BW112" s="602"/>
      <c r="BX112" s="486"/>
      <c r="BY112" s="608"/>
      <c r="BZ112" s="586"/>
      <c r="CA112" s="608"/>
      <c r="CB112" s="486"/>
      <c r="CC112" s="601"/>
      <c r="CD112" s="486"/>
      <c r="CE112" s="602"/>
      <c r="CF112" s="486"/>
      <c r="CG112" s="608"/>
      <c r="CH112" s="586"/>
      <c r="CI112" s="608"/>
      <c r="CJ112" s="486"/>
      <c r="CK112" s="601"/>
      <c r="CL112" s="486"/>
      <c r="CM112" s="602"/>
      <c r="CN112" s="486"/>
      <c r="CO112" s="608"/>
      <c r="CP112" s="586"/>
      <c r="CQ112" s="608"/>
      <c r="CR112" s="486"/>
      <c r="CS112" s="601"/>
      <c r="CT112" s="486"/>
      <c r="CU112" s="602"/>
      <c r="CV112" s="486"/>
      <c r="CW112" s="608"/>
      <c r="CX112" s="586"/>
      <c r="CY112" s="608"/>
      <c r="CZ112" s="486"/>
      <c r="DA112" s="601"/>
      <c r="DB112" s="486"/>
      <c r="DC112" s="602"/>
      <c r="DD112" s="486"/>
      <c r="DE112" s="608"/>
      <c r="DF112" s="586"/>
      <c r="DG112" s="608"/>
      <c r="DH112" s="486"/>
      <c r="DI112" s="601"/>
      <c r="DJ112" s="486"/>
      <c r="DK112" s="602"/>
      <c r="DL112" s="486"/>
      <c r="DM112" s="608"/>
      <c r="DN112" s="586"/>
      <c r="DO112" s="608"/>
      <c r="DP112" s="486"/>
      <c r="DQ112" s="601"/>
      <c r="DR112" s="486"/>
      <c r="DS112" s="602"/>
      <c r="DT112" s="486"/>
      <c r="DU112" s="608"/>
      <c r="DV112" s="586"/>
      <c r="DW112" s="608"/>
      <c r="DX112" s="486"/>
      <c r="DY112" s="601"/>
      <c r="DZ112" s="486"/>
      <c r="EA112" s="602"/>
      <c r="EB112" s="486"/>
      <c r="EC112" s="608"/>
      <c r="ED112" s="586"/>
      <c r="EE112" s="608"/>
      <c r="EF112" s="486"/>
      <c r="EG112" s="601"/>
      <c r="EH112" s="486"/>
      <c r="EI112" s="602"/>
      <c r="EJ112" s="486"/>
      <c r="EK112" s="608"/>
      <c r="EL112" s="586"/>
      <c r="EM112" s="608"/>
      <c r="EN112" s="486"/>
      <c r="EO112" s="601"/>
      <c r="EP112" s="486"/>
      <c r="EQ112" s="602"/>
      <c r="ER112" s="486"/>
      <c r="ES112" s="608"/>
      <c r="ET112" s="586"/>
      <c r="EU112" s="608"/>
      <c r="EV112" s="486"/>
      <c r="EW112" s="601"/>
      <c r="EX112" s="486"/>
      <c r="EY112" s="602"/>
      <c r="EZ112" s="486"/>
      <c r="FA112" s="608"/>
      <c r="FB112" s="586"/>
      <c r="FC112" s="608"/>
      <c r="FD112" s="486"/>
      <c r="FE112" s="601"/>
      <c r="FF112" s="486"/>
      <c r="FG112" s="602"/>
      <c r="FH112" s="486"/>
      <c r="FI112" s="608"/>
      <c r="FJ112" s="586"/>
      <c r="FK112" s="608"/>
      <c r="FL112" s="486"/>
      <c r="FM112" s="601"/>
      <c r="FN112" s="486"/>
      <c r="FO112" s="602"/>
      <c r="FP112" s="486"/>
      <c r="FQ112" s="608"/>
      <c r="FR112" s="586"/>
      <c r="FS112" s="608"/>
      <c r="FT112" s="486"/>
      <c r="FU112" s="601"/>
      <c r="FV112" s="486"/>
      <c r="FW112" s="602"/>
      <c r="FX112" s="486"/>
      <c r="FY112" s="608"/>
      <c r="FZ112" s="586"/>
      <c r="GA112" s="608"/>
      <c r="GB112" s="486"/>
      <c r="GC112" s="601"/>
      <c r="GD112" s="486"/>
      <c r="GE112" s="602"/>
      <c r="GF112" s="486"/>
      <c r="GG112" s="608"/>
      <c r="GH112" s="586"/>
      <c r="GI112" s="608"/>
      <c r="GJ112" s="486"/>
      <c r="GK112" s="601"/>
      <c r="GL112" s="486"/>
      <c r="GM112" s="602"/>
      <c r="GN112" s="486"/>
      <c r="GO112" s="608"/>
      <c r="GP112" s="586"/>
      <c r="GQ112" s="608"/>
      <c r="GR112" s="486"/>
      <c r="GS112" s="601"/>
      <c r="GT112" s="486"/>
      <c r="GU112" s="602"/>
      <c r="GV112" s="486"/>
      <c r="GW112" s="608"/>
      <c r="GX112" s="586"/>
      <c r="GY112" s="608"/>
      <c r="GZ112" s="486"/>
      <c r="HA112" s="601"/>
      <c r="HB112" s="486"/>
      <c r="HC112" s="602"/>
      <c r="HD112" s="486"/>
      <c r="HE112" s="608"/>
      <c r="HF112" s="586"/>
      <c r="HG112" s="608"/>
      <c r="HH112" s="486"/>
      <c r="HI112" s="601"/>
      <c r="HJ112" s="486"/>
      <c r="HK112" s="602"/>
      <c r="HL112" s="486"/>
      <c r="HM112" s="608"/>
      <c r="HN112" s="586"/>
      <c r="HO112" s="608"/>
      <c r="HP112" s="486"/>
      <c r="HQ112" s="601"/>
      <c r="HR112" s="486"/>
      <c r="HS112" s="602"/>
      <c r="HT112" s="486"/>
      <c r="HU112" s="608"/>
      <c r="HV112" s="586"/>
      <c r="HW112" s="608"/>
      <c r="HX112" s="486"/>
      <c r="HY112" s="601"/>
      <c r="HZ112" s="486"/>
      <c r="IA112" s="602"/>
      <c r="IB112" s="486"/>
      <c r="IC112" s="608"/>
      <c r="ID112" s="586"/>
      <c r="IE112" s="608"/>
      <c r="IF112" s="486"/>
      <c r="IG112" s="601"/>
      <c r="IH112" s="486"/>
      <c r="II112" s="602"/>
      <c r="IJ112" s="486"/>
      <c r="IK112" s="608"/>
      <c r="IL112" s="586"/>
      <c r="IM112" s="608"/>
      <c r="IN112" s="486"/>
      <c r="IO112" s="601"/>
      <c r="IP112" s="486"/>
    </row>
    <row r="113" spans="1:250" s="244" customFormat="1" ht="14.1" customHeight="1">
      <c r="A113" s="306" t="s">
        <v>81</v>
      </c>
      <c r="B113" s="596">
        <v>52.331000000000003</v>
      </c>
      <c r="C113" s="624">
        <v>34.024000000000001</v>
      </c>
      <c r="D113" s="624">
        <v>157.256</v>
      </c>
      <c r="E113" s="596">
        <v>176.38800000000001</v>
      </c>
      <c r="F113" s="596">
        <v>401.62700000000001</v>
      </c>
      <c r="G113" s="1287">
        <v>1706.117</v>
      </c>
      <c r="H113" s="1277"/>
      <c r="I113" s="606">
        <f>SUM(B113:H113)</f>
        <v>2527.7429999999999</v>
      </c>
      <c r="J113" s="486"/>
      <c r="K113" s="602"/>
      <c r="L113" s="486"/>
      <c r="M113" s="608"/>
      <c r="N113" s="586"/>
      <c r="O113" s="608"/>
      <c r="P113" s="486"/>
      <c r="Q113" s="601"/>
      <c r="R113" s="486"/>
      <c r="S113" s="602"/>
      <c r="T113" s="486"/>
      <c r="U113" s="608"/>
      <c r="V113" s="586"/>
      <c r="W113" s="608"/>
      <c r="X113" s="486"/>
      <c r="Y113" s="601"/>
      <c r="Z113" s="486"/>
      <c r="AA113" s="602"/>
      <c r="AB113" s="486"/>
      <c r="AC113" s="608"/>
      <c r="AD113" s="586"/>
      <c r="AE113" s="608"/>
      <c r="AF113" s="486"/>
      <c r="AG113" s="601"/>
      <c r="AH113" s="486"/>
      <c r="AI113" s="602"/>
      <c r="AJ113" s="486"/>
      <c r="AK113" s="608"/>
      <c r="AL113" s="586"/>
      <c r="AM113" s="608"/>
      <c r="AN113" s="486"/>
      <c r="AO113" s="601"/>
      <c r="AP113" s="486"/>
      <c r="AQ113" s="602"/>
      <c r="AR113" s="486"/>
      <c r="AS113" s="608"/>
      <c r="AT113" s="586"/>
      <c r="AU113" s="608"/>
      <c r="AV113" s="486"/>
      <c r="AW113" s="601"/>
      <c r="AX113" s="486"/>
      <c r="AY113" s="602"/>
      <c r="AZ113" s="486"/>
      <c r="BA113" s="608"/>
      <c r="BB113" s="586"/>
      <c r="BC113" s="608"/>
      <c r="BD113" s="486"/>
      <c r="BE113" s="601"/>
      <c r="BF113" s="486"/>
      <c r="BG113" s="602"/>
      <c r="BH113" s="486"/>
      <c r="BI113" s="608"/>
      <c r="BJ113" s="586"/>
      <c r="BK113" s="608"/>
      <c r="BL113" s="486"/>
      <c r="BM113" s="601"/>
      <c r="BN113" s="486"/>
      <c r="BO113" s="602"/>
      <c r="BP113" s="486"/>
      <c r="BQ113" s="608"/>
      <c r="BR113" s="586"/>
      <c r="BS113" s="608"/>
      <c r="BT113" s="486"/>
      <c r="BU113" s="601"/>
      <c r="BV113" s="486"/>
      <c r="BW113" s="602"/>
      <c r="BX113" s="486"/>
      <c r="BY113" s="608"/>
      <c r="BZ113" s="586"/>
      <c r="CA113" s="608"/>
      <c r="CB113" s="486"/>
      <c r="CC113" s="601"/>
      <c r="CD113" s="486"/>
      <c r="CE113" s="602"/>
      <c r="CF113" s="486"/>
      <c r="CG113" s="608"/>
      <c r="CH113" s="586"/>
      <c r="CI113" s="608"/>
      <c r="CJ113" s="486"/>
      <c r="CK113" s="601"/>
      <c r="CL113" s="486"/>
      <c r="CM113" s="602"/>
      <c r="CN113" s="486"/>
      <c r="CO113" s="608"/>
      <c r="CP113" s="586"/>
      <c r="CQ113" s="608"/>
      <c r="CR113" s="486"/>
      <c r="CS113" s="601"/>
      <c r="CT113" s="486"/>
      <c r="CU113" s="602"/>
      <c r="CV113" s="486"/>
      <c r="CW113" s="608"/>
      <c r="CX113" s="586"/>
      <c r="CY113" s="608"/>
      <c r="CZ113" s="486"/>
      <c r="DA113" s="601"/>
      <c r="DB113" s="486"/>
      <c r="DC113" s="602"/>
      <c r="DD113" s="486"/>
      <c r="DE113" s="608"/>
      <c r="DF113" s="586"/>
      <c r="DG113" s="608"/>
      <c r="DH113" s="486"/>
      <c r="DI113" s="601"/>
      <c r="DJ113" s="486"/>
      <c r="DK113" s="602"/>
      <c r="DL113" s="486"/>
      <c r="DM113" s="608"/>
      <c r="DN113" s="586"/>
      <c r="DO113" s="608"/>
      <c r="DP113" s="486"/>
      <c r="DQ113" s="601"/>
      <c r="DR113" s="486"/>
      <c r="DS113" s="602"/>
      <c r="DT113" s="486"/>
      <c r="DU113" s="608"/>
      <c r="DV113" s="586"/>
      <c r="DW113" s="608"/>
      <c r="DX113" s="486"/>
      <c r="DY113" s="601"/>
      <c r="DZ113" s="486"/>
      <c r="EA113" s="602"/>
      <c r="EB113" s="486"/>
      <c r="EC113" s="608"/>
      <c r="ED113" s="586"/>
      <c r="EE113" s="608"/>
      <c r="EF113" s="486"/>
      <c r="EG113" s="601"/>
      <c r="EH113" s="486"/>
      <c r="EI113" s="602"/>
      <c r="EJ113" s="486"/>
      <c r="EK113" s="608"/>
      <c r="EL113" s="586"/>
      <c r="EM113" s="608"/>
      <c r="EN113" s="486"/>
      <c r="EO113" s="601"/>
      <c r="EP113" s="486"/>
      <c r="EQ113" s="602"/>
      <c r="ER113" s="486"/>
      <c r="ES113" s="608"/>
      <c r="ET113" s="586"/>
      <c r="EU113" s="608"/>
      <c r="EV113" s="486"/>
      <c r="EW113" s="601"/>
      <c r="EX113" s="486"/>
      <c r="EY113" s="602"/>
      <c r="EZ113" s="486"/>
      <c r="FA113" s="608"/>
      <c r="FB113" s="586"/>
      <c r="FC113" s="608"/>
      <c r="FD113" s="486"/>
      <c r="FE113" s="601"/>
      <c r="FF113" s="486"/>
      <c r="FG113" s="602"/>
      <c r="FH113" s="486"/>
      <c r="FI113" s="608"/>
      <c r="FJ113" s="586"/>
      <c r="FK113" s="608"/>
      <c r="FL113" s="486"/>
      <c r="FM113" s="601"/>
      <c r="FN113" s="486"/>
      <c r="FO113" s="602"/>
      <c r="FP113" s="486"/>
      <c r="FQ113" s="608"/>
      <c r="FR113" s="586"/>
      <c r="FS113" s="608"/>
      <c r="FT113" s="486"/>
      <c r="FU113" s="601"/>
      <c r="FV113" s="486"/>
      <c r="FW113" s="602"/>
      <c r="FX113" s="486"/>
      <c r="FY113" s="608"/>
      <c r="FZ113" s="586"/>
      <c r="GA113" s="608"/>
      <c r="GB113" s="486"/>
      <c r="GC113" s="601"/>
      <c r="GD113" s="486"/>
      <c r="GE113" s="602"/>
      <c r="GF113" s="486"/>
      <c r="GG113" s="608"/>
      <c r="GH113" s="586"/>
      <c r="GI113" s="608"/>
      <c r="GJ113" s="486"/>
      <c r="GK113" s="601"/>
      <c r="GL113" s="486"/>
      <c r="GM113" s="602"/>
      <c r="GN113" s="486"/>
      <c r="GO113" s="608"/>
      <c r="GP113" s="586"/>
      <c r="GQ113" s="608"/>
      <c r="GR113" s="486"/>
      <c r="GS113" s="601"/>
      <c r="GT113" s="486"/>
      <c r="GU113" s="602"/>
      <c r="GV113" s="486"/>
      <c r="GW113" s="608"/>
      <c r="GX113" s="586"/>
      <c r="GY113" s="608"/>
      <c r="GZ113" s="486"/>
      <c r="HA113" s="601"/>
      <c r="HB113" s="486"/>
      <c r="HC113" s="602"/>
      <c r="HD113" s="486"/>
      <c r="HE113" s="608"/>
      <c r="HF113" s="586"/>
      <c r="HG113" s="608"/>
      <c r="HH113" s="486"/>
      <c r="HI113" s="601"/>
      <c r="HJ113" s="486"/>
      <c r="HK113" s="602"/>
      <c r="HL113" s="486"/>
      <c r="HM113" s="608"/>
      <c r="HN113" s="586"/>
      <c r="HO113" s="608"/>
      <c r="HP113" s="486"/>
      <c r="HQ113" s="601"/>
      <c r="HR113" s="486"/>
      <c r="HS113" s="602"/>
      <c r="HT113" s="486"/>
      <c r="HU113" s="608"/>
      <c r="HV113" s="586"/>
      <c r="HW113" s="608"/>
      <c r="HX113" s="486"/>
      <c r="HY113" s="601"/>
      <c r="HZ113" s="486"/>
      <c r="IA113" s="602"/>
      <c r="IB113" s="486"/>
      <c r="IC113" s="608"/>
      <c r="ID113" s="586"/>
      <c r="IE113" s="608"/>
      <c r="IF113" s="486"/>
      <c r="IG113" s="601"/>
      <c r="IH113" s="486"/>
      <c r="II113" s="602"/>
      <c r="IJ113" s="486"/>
      <c r="IK113" s="608"/>
      <c r="IL113" s="586"/>
      <c r="IM113" s="608"/>
      <c r="IN113" s="486"/>
      <c r="IO113" s="601"/>
      <c r="IP113" s="486"/>
    </row>
    <row r="114" spans="1:250" s="244" customFormat="1" ht="14.1" customHeight="1">
      <c r="A114" s="306" t="s">
        <v>82</v>
      </c>
      <c r="B114" s="609">
        <v>60.75</v>
      </c>
      <c r="C114" s="610">
        <v>34.789000000000001</v>
      </c>
      <c r="D114" s="610">
        <v>148.72800000000001</v>
      </c>
      <c r="E114" s="609">
        <v>157.22800000000001</v>
      </c>
      <c r="F114" s="596">
        <v>414.52600000000001</v>
      </c>
      <c r="G114" s="607">
        <v>1689.7470000000001</v>
      </c>
      <c r="H114" s="607"/>
      <c r="I114" s="606">
        <v>2505.768</v>
      </c>
      <c r="J114" s="486"/>
      <c r="K114" s="602"/>
      <c r="L114" s="486"/>
      <c r="M114" s="608"/>
      <c r="N114" s="586"/>
      <c r="O114" s="608"/>
      <c r="P114" s="486"/>
      <c r="Q114" s="601"/>
      <c r="R114" s="486"/>
      <c r="S114" s="602"/>
      <c r="T114" s="486"/>
      <c r="U114" s="608"/>
      <c r="V114" s="586"/>
      <c r="W114" s="608"/>
      <c r="X114" s="486"/>
      <c r="Y114" s="601"/>
      <c r="Z114" s="486"/>
      <c r="AA114" s="602"/>
      <c r="AB114" s="486"/>
      <c r="AC114" s="608"/>
      <c r="AD114" s="586"/>
      <c r="AE114" s="608"/>
      <c r="AF114" s="486"/>
      <c r="AG114" s="601"/>
      <c r="AH114" s="486"/>
      <c r="AI114" s="602"/>
      <c r="AJ114" s="486"/>
      <c r="AK114" s="608"/>
      <c r="AL114" s="586"/>
      <c r="AM114" s="608"/>
      <c r="AN114" s="486"/>
      <c r="AO114" s="601"/>
      <c r="AP114" s="486"/>
      <c r="AQ114" s="602"/>
      <c r="AR114" s="486"/>
      <c r="AS114" s="608"/>
      <c r="AT114" s="586"/>
      <c r="AU114" s="608"/>
      <c r="AV114" s="486"/>
      <c r="AW114" s="601"/>
      <c r="AX114" s="486"/>
      <c r="AY114" s="602"/>
      <c r="AZ114" s="486"/>
      <c r="BA114" s="608"/>
      <c r="BB114" s="586"/>
      <c r="BC114" s="608"/>
      <c r="BD114" s="486"/>
      <c r="BE114" s="601"/>
      <c r="BF114" s="486"/>
      <c r="BG114" s="602"/>
      <c r="BH114" s="486"/>
      <c r="BI114" s="608"/>
      <c r="BJ114" s="586"/>
      <c r="BK114" s="608"/>
      <c r="BL114" s="486"/>
      <c r="BM114" s="601"/>
      <c r="BN114" s="486"/>
      <c r="BO114" s="602"/>
      <c r="BP114" s="486"/>
      <c r="BQ114" s="608"/>
      <c r="BR114" s="586"/>
      <c r="BS114" s="608"/>
      <c r="BT114" s="486"/>
      <c r="BU114" s="601"/>
      <c r="BV114" s="486"/>
      <c r="BW114" s="602"/>
      <c r="BX114" s="486"/>
      <c r="BY114" s="608"/>
      <c r="BZ114" s="586"/>
      <c r="CA114" s="608"/>
      <c r="CB114" s="486"/>
      <c r="CC114" s="601"/>
      <c r="CD114" s="486"/>
      <c r="CE114" s="602"/>
      <c r="CF114" s="486"/>
      <c r="CG114" s="608"/>
      <c r="CH114" s="586"/>
      <c r="CI114" s="608"/>
      <c r="CJ114" s="486"/>
      <c r="CK114" s="601"/>
      <c r="CL114" s="486"/>
      <c r="CM114" s="602"/>
      <c r="CN114" s="486"/>
      <c r="CO114" s="608"/>
      <c r="CP114" s="586"/>
      <c r="CQ114" s="608"/>
      <c r="CR114" s="486"/>
      <c r="CS114" s="601"/>
      <c r="CT114" s="486"/>
      <c r="CU114" s="602"/>
      <c r="CV114" s="486"/>
      <c r="CW114" s="608"/>
      <c r="CX114" s="586"/>
      <c r="CY114" s="608"/>
      <c r="CZ114" s="486"/>
      <c r="DA114" s="601"/>
      <c r="DB114" s="486"/>
      <c r="DC114" s="602"/>
      <c r="DD114" s="486"/>
      <c r="DE114" s="608"/>
      <c r="DF114" s="586"/>
      <c r="DG114" s="608"/>
      <c r="DH114" s="486"/>
      <c r="DI114" s="601"/>
      <c r="DJ114" s="486"/>
      <c r="DK114" s="602"/>
      <c r="DL114" s="486"/>
      <c r="DM114" s="608"/>
      <c r="DN114" s="586"/>
      <c r="DO114" s="608"/>
      <c r="DP114" s="486"/>
      <c r="DQ114" s="601"/>
      <c r="DR114" s="486"/>
      <c r="DS114" s="602"/>
      <c r="DT114" s="486"/>
      <c r="DU114" s="608"/>
      <c r="DV114" s="586"/>
      <c r="DW114" s="608"/>
      <c r="DX114" s="486"/>
      <c r="DY114" s="601"/>
      <c r="DZ114" s="486"/>
      <c r="EA114" s="602"/>
      <c r="EB114" s="486"/>
      <c r="EC114" s="608"/>
      <c r="ED114" s="586"/>
      <c r="EE114" s="608"/>
      <c r="EF114" s="486"/>
      <c r="EG114" s="601"/>
      <c r="EH114" s="486"/>
      <c r="EI114" s="602"/>
      <c r="EJ114" s="486"/>
      <c r="EK114" s="608"/>
      <c r="EL114" s="586"/>
      <c r="EM114" s="608"/>
      <c r="EN114" s="486"/>
      <c r="EO114" s="601"/>
      <c r="EP114" s="486"/>
      <c r="EQ114" s="602"/>
      <c r="ER114" s="486"/>
      <c r="ES114" s="608"/>
      <c r="ET114" s="586"/>
      <c r="EU114" s="608"/>
      <c r="EV114" s="486"/>
      <c r="EW114" s="601"/>
      <c r="EX114" s="486"/>
      <c r="EY114" s="602"/>
      <c r="EZ114" s="486"/>
      <c r="FA114" s="608"/>
      <c r="FB114" s="586"/>
      <c r="FC114" s="608"/>
      <c r="FD114" s="486"/>
      <c r="FE114" s="601"/>
      <c r="FF114" s="486"/>
      <c r="FG114" s="602"/>
      <c r="FH114" s="486"/>
      <c r="FI114" s="608"/>
      <c r="FJ114" s="586"/>
      <c r="FK114" s="608"/>
      <c r="FL114" s="486"/>
      <c r="FM114" s="601"/>
      <c r="FN114" s="486"/>
      <c r="FO114" s="602"/>
      <c r="FP114" s="486"/>
      <c r="FQ114" s="608"/>
      <c r="FR114" s="586"/>
      <c r="FS114" s="608"/>
      <c r="FT114" s="486"/>
      <c r="FU114" s="601"/>
      <c r="FV114" s="486"/>
      <c r="FW114" s="602"/>
      <c r="FX114" s="486"/>
      <c r="FY114" s="608"/>
      <c r="FZ114" s="586"/>
      <c r="GA114" s="608"/>
      <c r="GB114" s="486"/>
      <c r="GC114" s="601"/>
      <c r="GD114" s="486"/>
      <c r="GE114" s="602"/>
      <c r="GF114" s="486"/>
      <c r="GG114" s="608"/>
      <c r="GH114" s="586"/>
      <c r="GI114" s="608"/>
      <c r="GJ114" s="486"/>
      <c r="GK114" s="601"/>
      <c r="GL114" s="486"/>
      <c r="GM114" s="602"/>
      <c r="GN114" s="486"/>
      <c r="GO114" s="608"/>
      <c r="GP114" s="586"/>
      <c r="GQ114" s="608"/>
      <c r="GR114" s="486"/>
      <c r="GS114" s="601"/>
      <c r="GT114" s="486"/>
      <c r="GU114" s="602"/>
      <c r="GV114" s="486"/>
      <c r="GW114" s="608"/>
      <c r="GX114" s="586"/>
      <c r="GY114" s="608"/>
      <c r="GZ114" s="486"/>
      <c r="HA114" s="601"/>
      <c r="HB114" s="486"/>
      <c r="HC114" s="602"/>
      <c r="HD114" s="486"/>
      <c r="HE114" s="608"/>
      <c r="HF114" s="586"/>
      <c r="HG114" s="608"/>
      <c r="HH114" s="486"/>
      <c r="HI114" s="601"/>
      <c r="HJ114" s="486"/>
      <c r="HK114" s="602"/>
      <c r="HL114" s="486"/>
      <c r="HM114" s="608"/>
      <c r="HN114" s="586"/>
      <c r="HO114" s="608"/>
      <c r="HP114" s="486"/>
      <c r="HQ114" s="601"/>
      <c r="HR114" s="486"/>
      <c r="HS114" s="602"/>
      <c r="HT114" s="486"/>
      <c r="HU114" s="608"/>
      <c r="HV114" s="586"/>
      <c r="HW114" s="608"/>
      <c r="HX114" s="486"/>
      <c r="HY114" s="601"/>
      <c r="HZ114" s="486"/>
      <c r="IA114" s="602"/>
      <c r="IB114" s="486"/>
      <c r="IC114" s="608"/>
      <c r="ID114" s="586"/>
      <c r="IE114" s="608"/>
      <c r="IF114" s="486"/>
      <c r="IG114" s="601"/>
      <c r="IH114" s="486"/>
      <c r="II114" s="602"/>
      <c r="IJ114" s="486"/>
      <c r="IK114" s="608"/>
      <c r="IL114" s="586"/>
      <c r="IM114" s="608"/>
      <c r="IN114" s="486"/>
      <c r="IO114" s="601"/>
      <c r="IP114" s="486"/>
    </row>
    <row r="115" spans="1:250" s="244" customFormat="1" ht="14.1" customHeight="1">
      <c r="A115" s="569" t="s">
        <v>267</v>
      </c>
      <c r="B115" s="552">
        <v>36.093000000000004</v>
      </c>
      <c r="C115" s="626">
        <v>59.088000000000001</v>
      </c>
      <c r="D115" s="627">
        <v>91.161000000000001</v>
      </c>
      <c r="E115" s="628">
        <v>162.39699999999999</v>
      </c>
      <c r="F115" s="629">
        <v>497.23599999999999</v>
      </c>
      <c r="G115" s="628">
        <v>399.899</v>
      </c>
      <c r="H115" s="630">
        <v>1309.9459999999999</v>
      </c>
      <c r="I115" s="614">
        <f>SUM(B115:H115)</f>
        <v>2555.8199999999997</v>
      </c>
      <c r="J115" s="486"/>
      <c r="K115" s="602"/>
      <c r="L115" s="486"/>
      <c r="M115" s="608"/>
      <c r="N115" s="586"/>
      <c r="O115" s="608"/>
      <c r="P115" s="486"/>
      <c r="Q115" s="601"/>
      <c r="R115" s="486"/>
      <c r="S115" s="602"/>
      <c r="T115" s="486"/>
      <c r="U115" s="608"/>
      <c r="V115" s="586"/>
      <c r="W115" s="608"/>
      <c r="X115" s="486"/>
      <c r="Y115" s="601"/>
      <c r="Z115" s="486"/>
      <c r="AA115" s="602"/>
      <c r="AB115" s="486"/>
      <c r="AC115" s="608"/>
      <c r="AD115" s="586"/>
      <c r="AE115" s="608"/>
      <c r="AF115" s="486"/>
      <c r="AG115" s="601"/>
      <c r="AH115" s="486"/>
      <c r="AI115" s="602"/>
      <c r="AJ115" s="486"/>
      <c r="AK115" s="608"/>
      <c r="AL115" s="586"/>
      <c r="AM115" s="608"/>
      <c r="AN115" s="486"/>
      <c r="AO115" s="601"/>
      <c r="AP115" s="486"/>
      <c r="AQ115" s="602"/>
      <c r="AR115" s="486"/>
      <c r="AS115" s="608"/>
      <c r="AT115" s="586"/>
      <c r="AU115" s="608"/>
      <c r="AV115" s="486"/>
      <c r="AW115" s="601"/>
      <c r="AX115" s="486"/>
      <c r="AY115" s="602"/>
      <c r="AZ115" s="486"/>
      <c r="BA115" s="608"/>
      <c r="BB115" s="586"/>
      <c r="BC115" s="608"/>
      <c r="BD115" s="486"/>
      <c r="BE115" s="601"/>
      <c r="BF115" s="486"/>
      <c r="BG115" s="602"/>
      <c r="BH115" s="486"/>
      <c r="BI115" s="608"/>
      <c r="BJ115" s="586"/>
      <c r="BK115" s="608"/>
      <c r="BL115" s="486"/>
      <c r="BM115" s="601"/>
      <c r="BN115" s="486"/>
      <c r="BO115" s="602"/>
      <c r="BP115" s="486"/>
      <c r="BQ115" s="608"/>
      <c r="BR115" s="586"/>
      <c r="BS115" s="608"/>
      <c r="BT115" s="486"/>
      <c r="BU115" s="601"/>
      <c r="BV115" s="486"/>
      <c r="BW115" s="602"/>
      <c r="BX115" s="486"/>
      <c r="BY115" s="608"/>
      <c r="BZ115" s="586"/>
      <c r="CA115" s="608"/>
      <c r="CB115" s="486"/>
      <c r="CC115" s="601"/>
      <c r="CD115" s="486"/>
      <c r="CE115" s="602"/>
      <c r="CF115" s="486"/>
      <c r="CG115" s="608"/>
      <c r="CH115" s="586"/>
      <c r="CI115" s="608"/>
      <c r="CJ115" s="486"/>
      <c r="CK115" s="601"/>
      <c r="CL115" s="486"/>
      <c r="CM115" s="602"/>
      <c r="CN115" s="486"/>
      <c r="CO115" s="608"/>
      <c r="CP115" s="586"/>
      <c r="CQ115" s="608"/>
      <c r="CR115" s="486"/>
      <c r="CS115" s="601"/>
      <c r="CT115" s="486"/>
      <c r="CU115" s="602"/>
      <c r="CV115" s="486"/>
      <c r="CW115" s="608"/>
      <c r="CX115" s="586"/>
      <c r="CY115" s="608"/>
      <c r="CZ115" s="486"/>
      <c r="DA115" s="601"/>
      <c r="DB115" s="486"/>
      <c r="DC115" s="602"/>
      <c r="DD115" s="486"/>
      <c r="DE115" s="608"/>
      <c r="DF115" s="586"/>
      <c r="DG115" s="608"/>
      <c r="DH115" s="486"/>
      <c r="DI115" s="601"/>
      <c r="DJ115" s="486"/>
      <c r="DK115" s="602"/>
      <c r="DL115" s="486"/>
      <c r="DM115" s="608"/>
      <c r="DN115" s="586"/>
      <c r="DO115" s="608"/>
      <c r="DP115" s="486"/>
      <c r="DQ115" s="601"/>
      <c r="DR115" s="486"/>
      <c r="DS115" s="602"/>
      <c r="DT115" s="486"/>
      <c r="DU115" s="608"/>
      <c r="DV115" s="586"/>
      <c r="DW115" s="608"/>
      <c r="DX115" s="486"/>
      <c r="DY115" s="601"/>
      <c r="DZ115" s="486"/>
      <c r="EA115" s="602"/>
      <c r="EB115" s="486"/>
      <c r="EC115" s="608"/>
      <c r="ED115" s="586"/>
      <c r="EE115" s="608"/>
      <c r="EF115" s="486"/>
      <c r="EG115" s="601"/>
      <c r="EH115" s="486"/>
      <c r="EI115" s="602"/>
      <c r="EJ115" s="486"/>
      <c r="EK115" s="608"/>
      <c r="EL115" s="586"/>
      <c r="EM115" s="608"/>
      <c r="EN115" s="486"/>
      <c r="EO115" s="601"/>
      <c r="EP115" s="486"/>
      <c r="EQ115" s="602"/>
      <c r="ER115" s="486"/>
      <c r="ES115" s="608"/>
      <c r="ET115" s="586"/>
      <c r="EU115" s="608"/>
      <c r="EV115" s="486"/>
      <c r="EW115" s="601"/>
      <c r="EX115" s="486"/>
      <c r="EY115" s="602"/>
      <c r="EZ115" s="486"/>
      <c r="FA115" s="608"/>
      <c r="FB115" s="586"/>
      <c r="FC115" s="608"/>
      <c r="FD115" s="486"/>
      <c r="FE115" s="601"/>
      <c r="FF115" s="486"/>
      <c r="FG115" s="602"/>
      <c r="FH115" s="486"/>
      <c r="FI115" s="608"/>
      <c r="FJ115" s="586"/>
      <c r="FK115" s="608"/>
      <c r="FL115" s="486"/>
      <c r="FM115" s="601"/>
      <c r="FN115" s="486"/>
      <c r="FO115" s="602"/>
      <c r="FP115" s="486"/>
      <c r="FQ115" s="608"/>
      <c r="FR115" s="586"/>
      <c r="FS115" s="608"/>
      <c r="FT115" s="486"/>
      <c r="FU115" s="601"/>
      <c r="FV115" s="486"/>
      <c r="FW115" s="602"/>
      <c r="FX115" s="486"/>
      <c r="FY115" s="608"/>
      <c r="FZ115" s="586"/>
      <c r="GA115" s="608"/>
      <c r="GB115" s="486"/>
      <c r="GC115" s="601"/>
      <c r="GD115" s="486"/>
      <c r="GE115" s="602"/>
      <c r="GF115" s="486"/>
      <c r="GG115" s="608"/>
      <c r="GH115" s="586"/>
      <c r="GI115" s="608"/>
      <c r="GJ115" s="486"/>
      <c r="GK115" s="601"/>
      <c r="GL115" s="486"/>
      <c r="GM115" s="602"/>
      <c r="GN115" s="486"/>
      <c r="GO115" s="608"/>
      <c r="GP115" s="586"/>
      <c r="GQ115" s="608"/>
      <c r="GR115" s="486"/>
      <c r="GS115" s="601"/>
      <c r="GT115" s="486"/>
      <c r="GU115" s="602"/>
      <c r="GV115" s="486"/>
      <c r="GW115" s="608"/>
      <c r="GX115" s="586"/>
      <c r="GY115" s="608"/>
      <c r="GZ115" s="486"/>
      <c r="HA115" s="601"/>
      <c r="HB115" s="486"/>
      <c r="HC115" s="602"/>
      <c r="HD115" s="486"/>
      <c r="HE115" s="608"/>
      <c r="HF115" s="586"/>
      <c r="HG115" s="608"/>
      <c r="HH115" s="486"/>
      <c r="HI115" s="601"/>
      <c r="HJ115" s="486"/>
      <c r="HK115" s="602"/>
      <c r="HL115" s="486"/>
      <c r="HM115" s="608"/>
      <c r="HN115" s="586"/>
      <c r="HO115" s="608"/>
      <c r="HP115" s="486"/>
      <c r="HQ115" s="601"/>
      <c r="HR115" s="486"/>
      <c r="HS115" s="602"/>
      <c r="HT115" s="486"/>
      <c r="HU115" s="608"/>
      <c r="HV115" s="586"/>
      <c r="HW115" s="608"/>
      <c r="HX115" s="486"/>
      <c r="HY115" s="601"/>
      <c r="HZ115" s="486"/>
      <c r="IA115" s="602"/>
      <c r="IB115" s="486"/>
      <c r="IC115" s="608"/>
      <c r="ID115" s="586"/>
      <c r="IE115" s="608"/>
      <c r="IF115" s="486"/>
      <c r="IG115" s="601"/>
      <c r="IH115" s="486"/>
      <c r="II115" s="602"/>
      <c r="IJ115" s="486"/>
      <c r="IK115" s="608"/>
      <c r="IL115" s="586"/>
      <c r="IM115" s="608"/>
      <c r="IN115" s="486"/>
      <c r="IO115" s="601"/>
      <c r="IP115" s="486"/>
    </row>
    <row r="116" spans="1:250" s="244" customFormat="1">
      <c r="A116" s="615"/>
      <c r="B116" s="245"/>
      <c r="C116" s="245"/>
      <c r="D116" s="617"/>
      <c r="E116" s="618" t="s">
        <v>89</v>
      </c>
      <c r="F116" s="616"/>
      <c r="G116" s="245"/>
      <c r="H116" s="245"/>
      <c r="I116" s="280"/>
      <c r="J116" s="486"/>
      <c r="K116" s="486"/>
      <c r="L116" s="486"/>
      <c r="M116" s="583"/>
      <c r="N116" s="582"/>
      <c r="O116" s="582"/>
      <c r="P116" s="582"/>
      <c r="Q116" s="486"/>
      <c r="R116" s="486"/>
      <c r="S116" s="486"/>
      <c r="T116" s="486"/>
      <c r="U116" s="583"/>
      <c r="V116" s="582"/>
      <c r="W116" s="582"/>
      <c r="X116" s="582"/>
      <c r="Y116" s="486"/>
      <c r="Z116" s="486"/>
      <c r="AA116" s="486"/>
      <c r="AB116" s="486"/>
      <c r="AC116" s="583"/>
      <c r="AD116" s="582"/>
      <c r="AE116" s="582"/>
      <c r="AF116" s="582"/>
      <c r="AG116" s="486"/>
      <c r="AH116" s="486"/>
      <c r="AI116" s="486"/>
      <c r="AJ116" s="486"/>
      <c r="AK116" s="583"/>
      <c r="AL116" s="582"/>
      <c r="AM116" s="582"/>
      <c r="AN116" s="582"/>
      <c r="AO116" s="486"/>
      <c r="AP116" s="486"/>
      <c r="AQ116" s="486"/>
      <c r="AR116" s="486"/>
      <c r="AS116" s="583"/>
      <c r="AT116" s="582"/>
      <c r="AU116" s="582"/>
      <c r="AV116" s="582"/>
      <c r="AW116" s="486"/>
      <c r="AX116" s="486"/>
      <c r="AY116" s="486"/>
      <c r="AZ116" s="486"/>
      <c r="BA116" s="583"/>
      <c r="BB116" s="582"/>
      <c r="BC116" s="582"/>
      <c r="BD116" s="582"/>
      <c r="BE116" s="486"/>
      <c r="BF116" s="486"/>
      <c r="BG116" s="486"/>
      <c r="BH116" s="486"/>
      <c r="BI116" s="583"/>
      <c r="BJ116" s="582"/>
      <c r="BK116" s="582"/>
      <c r="BL116" s="582"/>
      <c r="BM116" s="486"/>
      <c r="BN116" s="486"/>
      <c r="BO116" s="486"/>
      <c r="BP116" s="486"/>
      <c r="BQ116" s="583"/>
      <c r="BR116" s="582"/>
      <c r="BS116" s="582"/>
      <c r="BT116" s="582"/>
      <c r="BU116" s="486"/>
      <c r="BV116" s="486"/>
      <c r="BW116" s="486"/>
      <c r="BX116" s="486"/>
      <c r="BY116" s="583"/>
      <c r="BZ116" s="582"/>
      <c r="CA116" s="582"/>
      <c r="CB116" s="582"/>
      <c r="CC116" s="486"/>
      <c r="CD116" s="486"/>
      <c r="CE116" s="486"/>
      <c r="CF116" s="486"/>
      <c r="CG116" s="583"/>
      <c r="CH116" s="582"/>
      <c r="CI116" s="582"/>
      <c r="CJ116" s="582"/>
      <c r="CK116" s="486"/>
      <c r="CL116" s="486"/>
      <c r="CM116" s="486"/>
      <c r="CN116" s="486"/>
      <c r="CO116" s="583"/>
      <c r="CP116" s="582"/>
      <c r="CQ116" s="582"/>
      <c r="CR116" s="582"/>
      <c r="CS116" s="486"/>
      <c r="CT116" s="486"/>
      <c r="CU116" s="486"/>
      <c r="CV116" s="486"/>
      <c r="CW116" s="583"/>
      <c r="CX116" s="582"/>
      <c r="CY116" s="582"/>
      <c r="CZ116" s="582"/>
      <c r="DA116" s="486"/>
      <c r="DB116" s="486"/>
      <c r="DC116" s="486"/>
      <c r="DD116" s="486"/>
      <c r="DE116" s="583"/>
      <c r="DF116" s="582"/>
      <c r="DG116" s="582"/>
      <c r="DH116" s="582"/>
      <c r="DI116" s="486"/>
      <c r="DJ116" s="486"/>
      <c r="DK116" s="486"/>
      <c r="DL116" s="486"/>
      <c r="DM116" s="583"/>
      <c r="DN116" s="582"/>
      <c r="DO116" s="582"/>
      <c r="DP116" s="582"/>
      <c r="DQ116" s="486"/>
      <c r="DR116" s="486"/>
      <c r="DS116" s="486"/>
      <c r="DT116" s="486"/>
      <c r="DU116" s="583"/>
      <c r="DV116" s="582"/>
      <c r="DW116" s="582"/>
      <c r="DX116" s="582"/>
      <c r="DY116" s="486"/>
      <c r="DZ116" s="486"/>
      <c r="EA116" s="486"/>
      <c r="EB116" s="486"/>
      <c r="EC116" s="583"/>
      <c r="ED116" s="582"/>
      <c r="EE116" s="582"/>
      <c r="EF116" s="582"/>
      <c r="EG116" s="486"/>
      <c r="EH116" s="486"/>
      <c r="EI116" s="486"/>
      <c r="EJ116" s="486"/>
      <c r="EK116" s="583"/>
      <c r="EL116" s="582"/>
      <c r="EM116" s="582"/>
      <c r="EN116" s="582"/>
      <c r="EO116" s="486"/>
      <c r="EP116" s="486"/>
      <c r="EQ116" s="486"/>
      <c r="ER116" s="486"/>
      <c r="ES116" s="583"/>
      <c r="ET116" s="582"/>
      <c r="EU116" s="582"/>
      <c r="EV116" s="582"/>
      <c r="EW116" s="486"/>
      <c r="EX116" s="486"/>
      <c r="EY116" s="486"/>
      <c r="EZ116" s="486"/>
      <c r="FA116" s="583"/>
      <c r="FB116" s="582"/>
      <c r="FC116" s="582"/>
      <c r="FD116" s="582"/>
      <c r="FE116" s="486"/>
      <c r="FF116" s="486"/>
      <c r="FG116" s="486"/>
      <c r="FH116" s="486"/>
      <c r="FI116" s="583"/>
      <c r="FJ116" s="582"/>
      <c r="FK116" s="582"/>
      <c r="FL116" s="582"/>
      <c r="FM116" s="486"/>
      <c r="FN116" s="486"/>
      <c r="FO116" s="486"/>
      <c r="FP116" s="486"/>
      <c r="FQ116" s="583"/>
      <c r="FR116" s="582"/>
      <c r="FS116" s="582"/>
      <c r="FT116" s="582"/>
      <c r="FU116" s="486"/>
      <c r="FV116" s="486"/>
      <c r="FW116" s="486"/>
      <c r="FX116" s="486"/>
      <c r="FY116" s="583"/>
      <c r="FZ116" s="582"/>
      <c r="GA116" s="582"/>
      <c r="GB116" s="582"/>
      <c r="GC116" s="486"/>
      <c r="GD116" s="486"/>
      <c r="GE116" s="486"/>
      <c r="GF116" s="486"/>
      <c r="GG116" s="583"/>
      <c r="GH116" s="582"/>
      <c r="GI116" s="582"/>
      <c r="GJ116" s="582"/>
      <c r="GK116" s="486"/>
      <c r="GL116" s="486"/>
      <c r="GM116" s="486"/>
      <c r="GN116" s="486"/>
      <c r="GO116" s="583"/>
      <c r="GP116" s="582"/>
      <c r="GQ116" s="582"/>
      <c r="GR116" s="582"/>
      <c r="GS116" s="486"/>
      <c r="GT116" s="486"/>
      <c r="GU116" s="486"/>
      <c r="GV116" s="486"/>
      <c r="GW116" s="583"/>
      <c r="GX116" s="582"/>
      <c r="GY116" s="582"/>
      <c r="GZ116" s="582"/>
      <c r="HA116" s="486"/>
      <c r="HB116" s="486"/>
      <c r="HC116" s="486"/>
      <c r="HD116" s="486"/>
      <c r="HE116" s="583"/>
      <c r="HF116" s="582"/>
      <c r="HG116" s="582"/>
      <c r="HH116" s="582"/>
      <c r="HI116" s="486"/>
      <c r="HJ116" s="486"/>
      <c r="HK116" s="486"/>
      <c r="HL116" s="486"/>
      <c r="HM116" s="583"/>
      <c r="HN116" s="582"/>
      <c r="HO116" s="582"/>
      <c r="HP116" s="582"/>
      <c r="HQ116" s="486"/>
      <c r="HR116" s="486"/>
      <c r="HS116" s="486"/>
      <c r="HT116" s="486"/>
      <c r="HU116" s="583"/>
      <c r="HV116" s="582"/>
      <c r="HW116" s="582"/>
      <c r="HX116" s="582"/>
      <c r="HY116" s="486"/>
      <c r="HZ116" s="486"/>
      <c r="IA116" s="486"/>
      <c r="IB116" s="486"/>
      <c r="IC116" s="583"/>
      <c r="ID116" s="582"/>
      <c r="IE116" s="582"/>
      <c r="IF116" s="582"/>
      <c r="IG116" s="486"/>
      <c r="IH116" s="486"/>
      <c r="II116" s="486"/>
      <c r="IJ116" s="486"/>
      <c r="IK116" s="583"/>
      <c r="IL116" s="582"/>
      <c r="IM116" s="582"/>
      <c r="IN116" s="582"/>
      <c r="IO116" s="486"/>
      <c r="IP116" s="486"/>
    </row>
    <row r="117" spans="1:250" s="244" customFormat="1">
      <c r="A117" s="297" t="s">
        <v>71</v>
      </c>
      <c r="B117" s="546">
        <v>185.76900000000001</v>
      </c>
      <c r="C117" s="546">
        <v>126.251</v>
      </c>
      <c r="D117" s="620">
        <v>265.29500000000002</v>
      </c>
      <c r="E117" s="597">
        <v>611.55499999999995</v>
      </c>
      <c r="F117" s="598"/>
      <c r="G117" s="597">
        <v>640.30899999999997</v>
      </c>
      <c r="H117" s="598"/>
      <c r="I117" s="621">
        <v>1829.1789999999999</v>
      </c>
      <c r="J117" s="486"/>
      <c r="K117" s="602"/>
      <c r="L117" s="486"/>
      <c r="M117" s="586"/>
      <c r="N117" s="586"/>
      <c r="O117" s="586"/>
      <c r="P117" s="486"/>
      <c r="Q117" s="601"/>
      <c r="R117" s="486"/>
      <c r="S117" s="602"/>
      <c r="T117" s="486"/>
      <c r="U117" s="586"/>
      <c r="V117" s="586"/>
      <c r="W117" s="586"/>
      <c r="X117" s="486"/>
      <c r="Y117" s="601"/>
      <c r="Z117" s="486"/>
      <c r="AA117" s="602"/>
      <c r="AB117" s="486"/>
      <c r="AC117" s="586"/>
      <c r="AD117" s="586"/>
      <c r="AE117" s="586"/>
      <c r="AF117" s="486"/>
      <c r="AG117" s="601"/>
      <c r="AH117" s="486"/>
      <c r="AI117" s="602"/>
      <c r="AJ117" s="486"/>
      <c r="AK117" s="586"/>
      <c r="AL117" s="586"/>
      <c r="AM117" s="586"/>
      <c r="AN117" s="486"/>
      <c r="AO117" s="601"/>
      <c r="AP117" s="486"/>
      <c r="AQ117" s="602"/>
      <c r="AR117" s="486"/>
      <c r="AS117" s="586"/>
      <c r="AT117" s="586"/>
      <c r="AU117" s="586"/>
      <c r="AV117" s="486"/>
      <c r="AW117" s="601"/>
      <c r="AX117" s="486"/>
      <c r="AY117" s="602"/>
      <c r="AZ117" s="486"/>
      <c r="BA117" s="586"/>
      <c r="BB117" s="586"/>
      <c r="BC117" s="586"/>
      <c r="BD117" s="486"/>
      <c r="BE117" s="601"/>
      <c r="BF117" s="486"/>
      <c r="BG117" s="602"/>
      <c r="BH117" s="486"/>
      <c r="BI117" s="586"/>
      <c r="BJ117" s="586"/>
      <c r="BK117" s="586"/>
      <c r="BL117" s="486"/>
      <c r="BM117" s="601"/>
      <c r="BN117" s="486"/>
      <c r="BO117" s="602"/>
      <c r="BP117" s="486"/>
      <c r="BQ117" s="586"/>
      <c r="BR117" s="586"/>
      <c r="BS117" s="586"/>
      <c r="BT117" s="486"/>
      <c r="BU117" s="601"/>
      <c r="BV117" s="486"/>
      <c r="BW117" s="602"/>
      <c r="BX117" s="486"/>
      <c r="BY117" s="586"/>
      <c r="BZ117" s="586"/>
      <c r="CA117" s="586"/>
      <c r="CB117" s="486"/>
      <c r="CC117" s="601"/>
      <c r="CD117" s="486"/>
      <c r="CE117" s="602"/>
      <c r="CF117" s="486"/>
      <c r="CG117" s="586"/>
      <c r="CH117" s="586"/>
      <c r="CI117" s="586"/>
      <c r="CJ117" s="486"/>
      <c r="CK117" s="601"/>
      <c r="CL117" s="486"/>
      <c r="CM117" s="602"/>
      <c r="CN117" s="486"/>
      <c r="CO117" s="586"/>
      <c r="CP117" s="586"/>
      <c r="CQ117" s="586"/>
      <c r="CR117" s="486"/>
      <c r="CS117" s="601"/>
      <c r="CT117" s="486"/>
      <c r="CU117" s="602"/>
      <c r="CV117" s="486"/>
      <c r="CW117" s="586"/>
      <c r="CX117" s="586"/>
      <c r="CY117" s="586"/>
      <c r="CZ117" s="486"/>
      <c r="DA117" s="601"/>
      <c r="DB117" s="486"/>
      <c r="DC117" s="602"/>
      <c r="DD117" s="486"/>
      <c r="DE117" s="586"/>
      <c r="DF117" s="586"/>
      <c r="DG117" s="586"/>
      <c r="DH117" s="486"/>
      <c r="DI117" s="601"/>
      <c r="DJ117" s="486"/>
      <c r="DK117" s="602"/>
      <c r="DL117" s="486"/>
      <c r="DM117" s="586"/>
      <c r="DN117" s="586"/>
      <c r="DO117" s="586"/>
      <c r="DP117" s="486"/>
      <c r="DQ117" s="601"/>
      <c r="DR117" s="486"/>
      <c r="DS117" s="602"/>
      <c r="DT117" s="486"/>
      <c r="DU117" s="586"/>
      <c r="DV117" s="586"/>
      <c r="DW117" s="586"/>
      <c r="DX117" s="486"/>
      <c r="DY117" s="601"/>
      <c r="DZ117" s="486"/>
      <c r="EA117" s="602"/>
      <c r="EB117" s="486"/>
      <c r="EC117" s="586"/>
      <c r="ED117" s="586"/>
      <c r="EE117" s="586"/>
      <c r="EF117" s="486"/>
      <c r="EG117" s="601"/>
      <c r="EH117" s="486"/>
      <c r="EI117" s="602"/>
      <c r="EJ117" s="486"/>
      <c r="EK117" s="586"/>
      <c r="EL117" s="586"/>
      <c r="EM117" s="586"/>
      <c r="EN117" s="486"/>
      <c r="EO117" s="601"/>
      <c r="EP117" s="486"/>
      <c r="EQ117" s="602"/>
      <c r="ER117" s="486"/>
      <c r="ES117" s="586"/>
      <c r="ET117" s="586"/>
      <c r="EU117" s="586"/>
      <c r="EV117" s="486"/>
      <c r="EW117" s="601"/>
      <c r="EX117" s="486"/>
      <c r="EY117" s="602"/>
      <c r="EZ117" s="486"/>
      <c r="FA117" s="586"/>
      <c r="FB117" s="586"/>
      <c r="FC117" s="586"/>
      <c r="FD117" s="486"/>
      <c r="FE117" s="601"/>
      <c r="FF117" s="486"/>
      <c r="FG117" s="602"/>
      <c r="FH117" s="486"/>
      <c r="FI117" s="586"/>
      <c r="FJ117" s="586"/>
      <c r="FK117" s="586"/>
      <c r="FL117" s="486"/>
      <c r="FM117" s="601"/>
      <c r="FN117" s="486"/>
      <c r="FO117" s="602"/>
      <c r="FP117" s="486"/>
      <c r="FQ117" s="586"/>
      <c r="FR117" s="586"/>
      <c r="FS117" s="586"/>
      <c r="FT117" s="486"/>
      <c r="FU117" s="601"/>
      <c r="FV117" s="486"/>
      <c r="FW117" s="602"/>
      <c r="FX117" s="486"/>
      <c r="FY117" s="586"/>
      <c r="FZ117" s="586"/>
      <c r="GA117" s="586"/>
      <c r="GB117" s="486"/>
      <c r="GC117" s="601"/>
      <c r="GD117" s="486"/>
      <c r="GE117" s="602"/>
      <c r="GF117" s="486"/>
      <c r="GG117" s="586"/>
      <c r="GH117" s="586"/>
      <c r="GI117" s="586"/>
      <c r="GJ117" s="486"/>
      <c r="GK117" s="601"/>
      <c r="GL117" s="486"/>
      <c r="GM117" s="602"/>
      <c r="GN117" s="486"/>
      <c r="GO117" s="586"/>
      <c r="GP117" s="586"/>
      <c r="GQ117" s="586"/>
      <c r="GR117" s="486"/>
      <c r="GS117" s="601"/>
      <c r="GT117" s="486"/>
      <c r="GU117" s="602"/>
      <c r="GV117" s="486"/>
      <c r="GW117" s="586"/>
      <c r="GX117" s="586"/>
      <c r="GY117" s="586"/>
      <c r="GZ117" s="486"/>
      <c r="HA117" s="601"/>
      <c r="HB117" s="486"/>
      <c r="HC117" s="602"/>
      <c r="HD117" s="486"/>
      <c r="HE117" s="586"/>
      <c r="HF117" s="586"/>
      <c r="HG117" s="586"/>
      <c r="HH117" s="486"/>
      <c r="HI117" s="601"/>
      <c r="HJ117" s="486"/>
      <c r="HK117" s="602"/>
      <c r="HL117" s="486"/>
      <c r="HM117" s="586"/>
      <c r="HN117" s="586"/>
      <c r="HO117" s="586"/>
      <c r="HP117" s="486"/>
      <c r="HQ117" s="601"/>
      <c r="HR117" s="486"/>
      <c r="HS117" s="602"/>
      <c r="HT117" s="486"/>
      <c r="HU117" s="586"/>
      <c r="HV117" s="586"/>
      <c r="HW117" s="586"/>
      <c r="HX117" s="486"/>
      <c r="HY117" s="601"/>
      <c r="HZ117" s="486"/>
      <c r="IA117" s="602"/>
      <c r="IB117" s="486"/>
      <c r="IC117" s="586"/>
      <c r="ID117" s="586"/>
      <c r="IE117" s="586"/>
      <c r="IF117" s="486"/>
      <c r="IG117" s="601"/>
      <c r="IH117" s="486"/>
      <c r="II117" s="602"/>
      <c r="IJ117" s="486"/>
      <c r="IK117" s="586"/>
      <c r="IL117" s="586"/>
      <c r="IM117" s="586"/>
      <c r="IN117" s="486"/>
      <c r="IO117" s="601"/>
      <c r="IP117" s="486"/>
    </row>
    <row r="118" spans="1:250" s="244" customFormat="1">
      <c r="A118" s="540" t="s">
        <v>168</v>
      </c>
      <c r="B118" s="596">
        <v>184.577</v>
      </c>
      <c r="C118" s="596">
        <v>145.84</v>
      </c>
      <c r="D118" s="609">
        <v>229.48599999999999</v>
      </c>
      <c r="E118" s="609">
        <v>428.55</v>
      </c>
      <c r="F118" s="596">
        <v>303.17700000000002</v>
      </c>
      <c r="G118" s="596">
        <v>564.54700000000003</v>
      </c>
      <c r="H118" s="568"/>
      <c r="I118" s="622">
        <v>1856.1770000000001</v>
      </c>
      <c r="J118" s="486"/>
      <c r="K118" s="602"/>
      <c r="L118" s="486"/>
      <c r="M118" s="586"/>
      <c r="N118" s="586"/>
      <c r="O118" s="586"/>
      <c r="P118" s="486"/>
      <c r="Q118" s="601"/>
      <c r="R118" s="486"/>
      <c r="S118" s="602"/>
      <c r="T118" s="486"/>
      <c r="U118" s="586"/>
      <c r="V118" s="586"/>
      <c r="W118" s="586"/>
      <c r="X118" s="486"/>
      <c r="Y118" s="601"/>
      <c r="Z118" s="486"/>
      <c r="AA118" s="602"/>
      <c r="AB118" s="486"/>
      <c r="AC118" s="586"/>
      <c r="AD118" s="586"/>
      <c r="AE118" s="586"/>
      <c r="AF118" s="486"/>
      <c r="AG118" s="601"/>
      <c r="AH118" s="486"/>
      <c r="AI118" s="602"/>
      <c r="AJ118" s="486"/>
      <c r="AK118" s="586"/>
      <c r="AL118" s="586"/>
      <c r="AM118" s="586"/>
      <c r="AN118" s="486"/>
      <c r="AO118" s="601"/>
      <c r="AP118" s="486"/>
      <c r="AQ118" s="602"/>
      <c r="AR118" s="486"/>
      <c r="AS118" s="586"/>
      <c r="AT118" s="586"/>
      <c r="AU118" s="586"/>
      <c r="AV118" s="486"/>
      <c r="AW118" s="601"/>
      <c r="AX118" s="486"/>
      <c r="AY118" s="602"/>
      <c r="AZ118" s="486"/>
      <c r="BA118" s="586"/>
      <c r="BB118" s="586"/>
      <c r="BC118" s="586"/>
      <c r="BD118" s="486"/>
      <c r="BE118" s="601"/>
      <c r="BF118" s="486"/>
      <c r="BG118" s="602"/>
      <c r="BH118" s="486"/>
      <c r="BI118" s="586"/>
      <c r="BJ118" s="586"/>
      <c r="BK118" s="586"/>
      <c r="BL118" s="486"/>
      <c r="BM118" s="601"/>
      <c r="BN118" s="486"/>
      <c r="BO118" s="602"/>
      <c r="BP118" s="486"/>
      <c r="BQ118" s="586"/>
      <c r="BR118" s="586"/>
      <c r="BS118" s="586"/>
      <c r="BT118" s="486"/>
      <c r="BU118" s="601"/>
      <c r="BV118" s="486"/>
      <c r="BW118" s="602"/>
      <c r="BX118" s="486"/>
      <c r="BY118" s="586"/>
      <c r="BZ118" s="586"/>
      <c r="CA118" s="586"/>
      <c r="CB118" s="486"/>
      <c r="CC118" s="601"/>
      <c r="CD118" s="486"/>
      <c r="CE118" s="602"/>
      <c r="CF118" s="486"/>
      <c r="CG118" s="586"/>
      <c r="CH118" s="586"/>
      <c r="CI118" s="586"/>
      <c r="CJ118" s="486"/>
      <c r="CK118" s="601"/>
      <c r="CL118" s="486"/>
      <c r="CM118" s="602"/>
      <c r="CN118" s="486"/>
      <c r="CO118" s="586"/>
      <c r="CP118" s="586"/>
      <c r="CQ118" s="586"/>
      <c r="CR118" s="486"/>
      <c r="CS118" s="601"/>
      <c r="CT118" s="486"/>
      <c r="CU118" s="602"/>
      <c r="CV118" s="486"/>
      <c r="CW118" s="586"/>
      <c r="CX118" s="586"/>
      <c r="CY118" s="586"/>
      <c r="CZ118" s="486"/>
      <c r="DA118" s="601"/>
      <c r="DB118" s="486"/>
      <c r="DC118" s="602"/>
      <c r="DD118" s="486"/>
      <c r="DE118" s="586"/>
      <c r="DF118" s="586"/>
      <c r="DG118" s="586"/>
      <c r="DH118" s="486"/>
      <c r="DI118" s="601"/>
      <c r="DJ118" s="486"/>
      <c r="DK118" s="602"/>
      <c r="DL118" s="486"/>
      <c r="DM118" s="586"/>
      <c r="DN118" s="586"/>
      <c r="DO118" s="586"/>
      <c r="DP118" s="486"/>
      <c r="DQ118" s="601"/>
      <c r="DR118" s="486"/>
      <c r="DS118" s="602"/>
      <c r="DT118" s="486"/>
      <c r="DU118" s="586"/>
      <c r="DV118" s="586"/>
      <c r="DW118" s="586"/>
      <c r="DX118" s="486"/>
      <c r="DY118" s="601"/>
      <c r="DZ118" s="486"/>
      <c r="EA118" s="602"/>
      <c r="EB118" s="486"/>
      <c r="EC118" s="586"/>
      <c r="ED118" s="586"/>
      <c r="EE118" s="586"/>
      <c r="EF118" s="486"/>
      <c r="EG118" s="601"/>
      <c r="EH118" s="486"/>
      <c r="EI118" s="602"/>
      <c r="EJ118" s="486"/>
      <c r="EK118" s="586"/>
      <c r="EL118" s="586"/>
      <c r="EM118" s="586"/>
      <c r="EN118" s="486"/>
      <c r="EO118" s="601"/>
      <c r="EP118" s="486"/>
      <c r="EQ118" s="602"/>
      <c r="ER118" s="486"/>
      <c r="ES118" s="586"/>
      <c r="ET118" s="586"/>
      <c r="EU118" s="586"/>
      <c r="EV118" s="486"/>
      <c r="EW118" s="601"/>
      <c r="EX118" s="486"/>
      <c r="EY118" s="602"/>
      <c r="EZ118" s="486"/>
      <c r="FA118" s="586"/>
      <c r="FB118" s="586"/>
      <c r="FC118" s="586"/>
      <c r="FD118" s="486"/>
      <c r="FE118" s="601"/>
      <c r="FF118" s="486"/>
      <c r="FG118" s="602"/>
      <c r="FH118" s="486"/>
      <c r="FI118" s="586"/>
      <c r="FJ118" s="586"/>
      <c r="FK118" s="586"/>
      <c r="FL118" s="486"/>
      <c r="FM118" s="601"/>
      <c r="FN118" s="486"/>
      <c r="FO118" s="602"/>
      <c r="FP118" s="486"/>
      <c r="FQ118" s="586"/>
      <c r="FR118" s="586"/>
      <c r="FS118" s="586"/>
      <c r="FT118" s="486"/>
      <c r="FU118" s="601"/>
      <c r="FV118" s="486"/>
      <c r="FW118" s="602"/>
      <c r="FX118" s="486"/>
      <c r="FY118" s="586"/>
      <c r="FZ118" s="586"/>
      <c r="GA118" s="586"/>
      <c r="GB118" s="486"/>
      <c r="GC118" s="601"/>
      <c r="GD118" s="486"/>
      <c r="GE118" s="602"/>
      <c r="GF118" s="486"/>
      <c r="GG118" s="586"/>
      <c r="GH118" s="586"/>
      <c r="GI118" s="586"/>
      <c r="GJ118" s="486"/>
      <c r="GK118" s="601"/>
      <c r="GL118" s="486"/>
      <c r="GM118" s="602"/>
      <c r="GN118" s="486"/>
      <c r="GO118" s="586"/>
      <c r="GP118" s="586"/>
      <c r="GQ118" s="586"/>
      <c r="GR118" s="486"/>
      <c r="GS118" s="601"/>
      <c r="GT118" s="486"/>
      <c r="GU118" s="602"/>
      <c r="GV118" s="486"/>
      <c r="GW118" s="586"/>
      <c r="GX118" s="586"/>
      <c r="GY118" s="586"/>
      <c r="GZ118" s="486"/>
      <c r="HA118" s="601"/>
      <c r="HB118" s="486"/>
      <c r="HC118" s="602"/>
      <c r="HD118" s="486"/>
      <c r="HE118" s="586"/>
      <c r="HF118" s="586"/>
      <c r="HG118" s="586"/>
      <c r="HH118" s="486"/>
      <c r="HI118" s="601"/>
      <c r="HJ118" s="486"/>
      <c r="HK118" s="602"/>
      <c r="HL118" s="486"/>
      <c r="HM118" s="586"/>
      <c r="HN118" s="586"/>
      <c r="HO118" s="586"/>
      <c r="HP118" s="486"/>
      <c r="HQ118" s="601"/>
      <c r="HR118" s="486"/>
      <c r="HS118" s="602"/>
      <c r="HT118" s="486"/>
      <c r="HU118" s="586"/>
      <c r="HV118" s="586"/>
      <c r="HW118" s="586"/>
      <c r="HX118" s="486"/>
      <c r="HY118" s="601"/>
      <c r="HZ118" s="486"/>
      <c r="IA118" s="602"/>
      <c r="IB118" s="486"/>
      <c r="IC118" s="586"/>
      <c r="ID118" s="586"/>
      <c r="IE118" s="586"/>
      <c r="IF118" s="486"/>
      <c r="IG118" s="601"/>
      <c r="IH118" s="486"/>
      <c r="II118" s="602"/>
      <c r="IJ118" s="486"/>
      <c r="IK118" s="586"/>
      <c r="IL118" s="586"/>
      <c r="IM118" s="586"/>
      <c r="IN118" s="486"/>
      <c r="IO118" s="601"/>
      <c r="IP118" s="486"/>
    </row>
    <row r="119" spans="1:250" s="244" customFormat="1" ht="14.1" hidden="1" customHeight="1">
      <c r="A119" s="306" t="s">
        <v>72</v>
      </c>
      <c r="B119" s="596"/>
      <c r="C119" s="596">
        <v>1750850</v>
      </c>
      <c r="D119" s="609">
        <v>297349</v>
      </c>
      <c r="E119" s="609">
        <v>223253</v>
      </c>
      <c r="F119" s="596">
        <v>2271452</v>
      </c>
      <c r="G119" s="549" t="e">
        <v>#DIV/0!</v>
      </c>
      <c r="H119" s="568"/>
      <c r="I119" s="622" t="e">
        <v>#DIV/0!</v>
      </c>
      <c r="J119" s="486"/>
      <c r="K119" s="602"/>
      <c r="L119" s="486"/>
      <c r="M119" s="586"/>
      <c r="N119" s="586"/>
      <c r="O119" s="586"/>
      <c r="P119" s="486"/>
      <c r="Q119" s="601"/>
      <c r="R119" s="486"/>
      <c r="S119" s="602"/>
      <c r="T119" s="486"/>
      <c r="U119" s="586"/>
      <c r="V119" s="586"/>
      <c r="W119" s="586"/>
      <c r="X119" s="486"/>
      <c r="Y119" s="601"/>
      <c r="Z119" s="486"/>
      <c r="AA119" s="602"/>
      <c r="AB119" s="486"/>
      <c r="AC119" s="586"/>
      <c r="AD119" s="586"/>
      <c r="AE119" s="586"/>
      <c r="AF119" s="486"/>
      <c r="AG119" s="601"/>
      <c r="AH119" s="486"/>
      <c r="AI119" s="602"/>
      <c r="AJ119" s="486"/>
      <c r="AK119" s="586"/>
      <c r="AL119" s="586"/>
      <c r="AM119" s="586"/>
      <c r="AN119" s="486"/>
      <c r="AO119" s="601"/>
      <c r="AP119" s="486"/>
      <c r="AQ119" s="602"/>
      <c r="AR119" s="486"/>
      <c r="AS119" s="586"/>
      <c r="AT119" s="586"/>
      <c r="AU119" s="586"/>
      <c r="AV119" s="486"/>
      <c r="AW119" s="601"/>
      <c r="AX119" s="486"/>
      <c r="AY119" s="602"/>
      <c r="AZ119" s="486"/>
      <c r="BA119" s="586"/>
      <c r="BB119" s="586"/>
      <c r="BC119" s="586"/>
      <c r="BD119" s="486"/>
      <c r="BE119" s="601"/>
      <c r="BF119" s="486"/>
      <c r="BG119" s="602"/>
      <c r="BH119" s="486"/>
      <c r="BI119" s="586"/>
      <c r="BJ119" s="586"/>
      <c r="BK119" s="586"/>
      <c r="BL119" s="486"/>
      <c r="BM119" s="601"/>
      <c r="BN119" s="486"/>
      <c r="BO119" s="602"/>
      <c r="BP119" s="486"/>
      <c r="BQ119" s="586"/>
      <c r="BR119" s="586"/>
      <c r="BS119" s="586"/>
      <c r="BT119" s="486"/>
      <c r="BU119" s="601"/>
      <c r="BV119" s="486"/>
      <c r="BW119" s="602"/>
      <c r="BX119" s="486"/>
      <c r="BY119" s="586"/>
      <c r="BZ119" s="586"/>
      <c r="CA119" s="586"/>
      <c r="CB119" s="486"/>
      <c r="CC119" s="601"/>
      <c r="CD119" s="486"/>
      <c r="CE119" s="602"/>
      <c r="CF119" s="486"/>
      <c r="CG119" s="586"/>
      <c r="CH119" s="586"/>
      <c r="CI119" s="586"/>
      <c r="CJ119" s="486"/>
      <c r="CK119" s="601"/>
      <c r="CL119" s="486"/>
      <c r="CM119" s="602"/>
      <c r="CN119" s="486"/>
      <c r="CO119" s="586"/>
      <c r="CP119" s="586"/>
      <c r="CQ119" s="586"/>
      <c r="CR119" s="486"/>
      <c r="CS119" s="601"/>
      <c r="CT119" s="486"/>
      <c r="CU119" s="602"/>
      <c r="CV119" s="486"/>
      <c r="CW119" s="586"/>
      <c r="CX119" s="586"/>
      <c r="CY119" s="586"/>
      <c r="CZ119" s="486"/>
      <c r="DA119" s="601"/>
      <c r="DB119" s="486"/>
      <c r="DC119" s="602"/>
      <c r="DD119" s="486"/>
      <c r="DE119" s="586"/>
      <c r="DF119" s="586"/>
      <c r="DG119" s="586"/>
      <c r="DH119" s="486"/>
      <c r="DI119" s="601"/>
      <c r="DJ119" s="486"/>
      <c r="DK119" s="602"/>
      <c r="DL119" s="486"/>
      <c r="DM119" s="586"/>
      <c r="DN119" s="586"/>
      <c r="DO119" s="586"/>
      <c r="DP119" s="486"/>
      <c r="DQ119" s="601"/>
      <c r="DR119" s="486"/>
      <c r="DS119" s="602"/>
      <c r="DT119" s="486"/>
      <c r="DU119" s="586"/>
      <c r="DV119" s="586"/>
      <c r="DW119" s="586"/>
      <c r="DX119" s="486"/>
      <c r="DY119" s="601"/>
      <c r="DZ119" s="486"/>
      <c r="EA119" s="602"/>
      <c r="EB119" s="486"/>
      <c r="EC119" s="586"/>
      <c r="ED119" s="586"/>
      <c r="EE119" s="586"/>
      <c r="EF119" s="486"/>
      <c r="EG119" s="601"/>
      <c r="EH119" s="486"/>
      <c r="EI119" s="602"/>
      <c r="EJ119" s="486"/>
      <c r="EK119" s="586"/>
      <c r="EL119" s="586"/>
      <c r="EM119" s="586"/>
      <c r="EN119" s="486"/>
      <c r="EO119" s="601"/>
      <c r="EP119" s="486"/>
      <c r="EQ119" s="602"/>
      <c r="ER119" s="486"/>
      <c r="ES119" s="586"/>
      <c r="ET119" s="586"/>
      <c r="EU119" s="586"/>
      <c r="EV119" s="486"/>
      <c r="EW119" s="601"/>
      <c r="EX119" s="486"/>
      <c r="EY119" s="602"/>
      <c r="EZ119" s="486"/>
      <c r="FA119" s="586"/>
      <c r="FB119" s="586"/>
      <c r="FC119" s="586"/>
      <c r="FD119" s="486"/>
      <c r="FE119" s="601"/>
      <c r="FF119" s="486"/>
      <c r="FG119" s="602"/>
      <c r="FH119" s="486"/>
      <c r="FI119" s="586"/>
      <c r="FJ119" s="586"/>
      <c r="FK119" s="586"/>
      <c r="FL119" s="486"/>
      <c r="FM119" s="601"/>
      <c r="FN119" s="486"/>
      <c r="FO119" s="602"/>
      <c r="FP119" s="486"/>
      <c r="FQ119" s="586"/>
      <c r="FR119" s="586"/>
      <c r="FS119" s="586"/>
      <c r="FT119" s="486"/>
      <c r="FU119" s="601"/>
      <c r="FV119" s="486"/>
      <c r="FW119" s="602"/>
      <c r="FX119" s="486"/>
      <c r="FY119" s="586"/>
      <c r="FZ119" s="586"/>
      <c r="GA119" s="586"/>
      <c r="GB119" s="486"/>
      <c r="GC119" s="601"/>
      <c r="GD119" s="486"/>
      <c r="GE119" s="602"/>
      <c r="GF119" s="486"/>
      <c r="GG119" s="586"/>
      <c r="GH119" s="586"/>
      <c r="GI119" s="586"/>
      <c r="GJ119" s="486"/>
      <c r="GK119" s="601"/>
      <c r="GL119" s="486"/>
      <c r="GM119" s="602"/>
      <c r="GN119" s="486"/>
      <c r="GO119" s="586"/>
      <c r="GP119" s="586"/>
      <c r="GQ119" s="586"/>
      <c r="GR119" s="486"/>
      <c r="GS119" s="601"/>
      <c r="GT119" s="486"/>
      <c r="GU119" s="602"/>
      <c r="GV119" s="486"/>
      <c r="GW119" s="586"/>
      <c r="GX119" s="586"/>
      <c r="GY119" s="586"/>
      <c r="GZ119" s="486"/>
      <c r="HA119" s="601"/>
      <c r="HB119" s="486"/>
      <c r="HC119" s="602"/>
      <c r="HD119" s="486"/>
      <c r="HE119" s="586"/>
      <c r="HF119" s="586"/>
      <c r="HG119" s="586"/>
      <c r="HH119" s="486"/>
      <c r="HI119" s="601"/>
      <c r="HJ119" s="486"/>
      <c r="HK119" s="602"/>
      <c r="HL119" s="486"/>
      <c r="HM119" s="586"/>
      <c r="HN119" s="586"/>
      <c r="HO119" s="586"/>
      <c r="HP119" s="486"/>
      <c r="HQ119" s="601"/>
      <c r="HR119" s="486"/>
      <c r="HS119" s="602"/>
      <c r="HT119" s="486"/>
      <c r="HU119" s="586"/>
      <c r="HV119" s="586"/>
      <c r="HW119" s="586"/>
      <c r="HX119" s="486"/>
      <c r="HY119" s="601"/>
      <c r="HZ119" s="486"/>
      <c r="IA119" s="602"/>
      <c r="IB119" s="486"/>
      <c r="IC119" s="586"/>
      <c r="ID119" s="586"/>
      <c r="IE119" s="586"/>
      <c r="IF119" s="486"/>
      <c r="IG119" s="601"/>
      <c r="IH119" s="486"/>
      <c r="II119" s="602"/>
      <c r="IJ119" s="486"/>
      <c r="IK119" s="586"/>
      <c r="IL119" s="586"/>
      <c r="IM119" s="586"/>
      <c r="IN119" s="486"/>
      <c r="IO119" s="601"/>
      <c r="IP119" s="486"/>
    </row>
    <row r="120" spans="1:250" s="244" customFormat="1" ht="14.1" hidden="1" customHeight="1">
      <c r="A120" s="306" t="s">
        <v>73</v>
      </c>
      <c r="B120" s="596">
        <v>180.56399999999999</v>
      </c>
      <c r="C120" s="596">
        <v>113.572</v>
      </c>
      <c r="D120" s="609">
        <v>221.953</v>
      </c>
      <c r="E120" s="609">
        <v>468.04899999999998</v>
      </c>
      <c r="F120" s="596">
        <v>402.37900000000002</v>
      </c>
      <c r="G120" s="596">
        <v>587.58600000000001</v>
      </c>
      <c r="H120" s="568"/>
      <c r="I120" s="622">
        <v>1974.1029999999998</v>
      </c>
      <c r="J120" s="486"/>
      <c r="K120" s="602"/>
      <c r="L120" s="486"/>
      <c r="M120" s="586"/>
      <c r="N120" s="586"/>
      <c r="O120" s="586"/>
      <c r="P120" s="486"/>
      <c r="Q120" s="601"/>
      <c r="R120" s="486"/>
      <c r="S120" s="602"/>
      <c r="T120" s="486"/>
      <c r="U120" s="586"/>
      <c r="V120" s="586"/>
      <c r="W120" s="586"/>
      <c r="X120" s="486"/>
      <c r="Y120" s="601"/>
      <c r="Z120" s="486"/>
      <c r="AA120" s="602"/>
      <c r="AB120" s="486"/>
      <c r="AC120" s="586"/>
      <c r="AD120" s="586"/>
      <c r="AE120" s="586"/>
      <c r="AF120" s="486"/>
      <c r="AG120" s="601"/>
      <c r="AH120" s="486"/>
      <c r="AI120" s="602"/>
      <c r="AJ120" s="486"/>
      <c r="AK120" s="586"/>
      <c r="AL120" s="586"/>
      <c r="AM120" s="586"/>
      <c r="AN120" s="486"/>
      <c r="AO120" s="601"/>
      <c r="AP120" s="486"/>
      <c r="AQ120" s="602"/>
      <c r="AR120" s="486"/>
      <c r="AS120" s="586"/>
      <c r="AT120" s="586"/>
      <c r="AU120" s="586"/>
      <c r="AV120" s="486"/>
      <c r="AW120" s="601"/>
      <c r="AX120" s="486"/>
      <c r="AY120" s="602"/>
      <c r="AZ120" s="486"/>
      <c r="BA120" s="586"/>
      <c r="BB120" s="586"/>
      <c r="BC120" s="586"/>
      <c r="BD120" s="486"/>
      <c r="BE120" s="601"/>
      <c r="BF120" s="486"/>
      <c r="BG120" s="602"/>
      <c r="BH120" s="486"/>
      <c r="BI120" s="586"/>
      <c r="BJ120" s="586"/>
      <c r="BK120" s="586"/>
      <c r="BL120" s="486"/>
      <c r="BM120" s="601"/>
      <c r="BN120" s="486"/>
      <c r="BO120" s="602"/>
      <c r="BP120" s="486"/>
      <c r="BQ120" s="586"/>
      <c r="BR120" s="586"/>
      <c r="BS120" s="586"/>
      <c r="BT120" s="486"/>
      <c r="BU120" s="601"/>
      <c r="BV120" s="486"/>
      <c r="BW120" s="602"/>
      <c r="BX120" s="486"/>
      <c r="BY120" s="586"/>
      <c r="BZ120" s="586"/>
      <c r="CA120" s="586"/>
      <c r="CB120" s="486"/>
      <c r="CC120" s="601"/>
      <c r="CD120" s="486"/>
      <c r="CE120" s="602"/>
      <c r="CF120" s="486"/>
      <c r="CG120" s="586"/>
      <c r="CH120" s="586"/>
      <c r="CI120" s="586"/>
      <c r="CJ120" s="486"/>
      <c r="CK120" s="601"/>
      <c r="CL120" s="486"/>
      <c r="CM120" s="602"/>
      <c r="CN120" s="486"/>
      <c r="CO120" s="586"/>
      <c r="CP120" s="586"/>
      <c r="CQ120" s="586"/>
      <c r="CR120" s="486"/>
      <c r="CS120" s="601"/>
      <c r="CT120" s="486"/>
      <c r="CU120" s="602"/>
      <c r="CV120" s="486"/>
      <c r="CW120" s="586"/>
      <c r="CX120" s="586"/>
      <c r="CY120" s="586"/>
      <c r="CZ120" s="486"/>
      <c r="DA120" s="601"/>
      <c r="DB120" s="486"/>
      <c r="DC120" s="602"/>
      <c r="DD120" s="486"/>
      <c r="DE120" s="586"/>
      <c r="DF120" s="586"/>
      <c r="DG120" s="586"/>
      <c r="DH120" s="486"/>
      <c r="DI120" s="601"/>
      <c r="DJ120" s="486"/>
      <c r="DK120" s="602"/>
      <c r="DL120" s="486"/>
      <c r="DM120" s="586"/>
      <c r="DN120" s="586"/>
      <c r="DO120" s="586"/>
      <c r="DP120" s="486"/>
      <c r="DQ120" s="601"/>
      <c r="DR120" s="486"/>
      <c r="DS120" s="602"/>
      <c r="DT120" s="486"/>
      <c r="DU120" s="586"/>
      <c r="DV120" s="586"/>
      <c r="DW120" s="586"/>
      <c r="DX120" s="486"/>
      <c r="DY120" s="601"/>
      <c r="DZ120" s="486"/>
      <c r="EA120" s="602"/>
      <c r="EB120" s="486"/>
      <c r="EC120" s="586"/>
      <c r="ED120" s="586"/>
      <c r="EE120" s="586"/>
      <c r="EF120" s="486"/>
      <c r="EG120" s="601"/>
      <c r="EH120" s="486"/>
      <c r="EI120" s="602"/>
      <c r="EJ120" s="486"/>
      <c r="EK120" s="586"/>
      <c r="EL120" s="586"/>
      <c r="EM120" s="586"/>
      <c r="EN120" s="486"/>
      <c r="EO120" s="601"/>
      <c r="EP120" s="486"/>
      <c r="EQ120" s="602"/>
      <c r="ER120" s="486"/>
      <c r="ES120" s="586"/>
      <c r="ET120" s="586"/>
      <c r="EU120" s="586"/>
      <c r="EV120" s="486"/>
      <c r="EW120" s="601"/>
      <c r="EX120" s="486"/>
      <c r="EY120" s="602"/>
      <c r="EZ120" s="486"/>
      <c r="FA120" s="586"/>
      <c r="FB120" s="586"/>
      <c r="FC120" s="586"/>
      <c r="FD120" s="486"/>
      <c r="FE120" s="601"/>
      <c r="FF120" s="486"/>
      <c r="FG120" s="602"/>
      <c r="FH120" s="486"/>
      <c r="FI120" s="586"/>
      <c r="FJ120" s="586"/>
      <c r="FK120" s="586"/>
      <c r="FL120" s="486"/>
      <c r="FM120" s="601"/>
      <c r="FN120" s="486"/>
      <c r="FO120" s="602"/>
      <c r="FP120" s="486"/>
      <c r="FQ120" s="586"/>
      <c r="FR120" s="586"/>
      <c r="FS120" s="586"/>
      <c r="FT120" s="486"/>
      <c r="FU120" s="601"/>
      <c r="FV120" s="486"/>
      <c r="FW120" s="602"/>
      <c r="FX120" s="486"/>
      <c r="FY120" s="586"/>
      <c r="FZ120" s="586"/>
      <c r="GA120" s="586"/>
      <c r="GB120" s="486"/>
      <c r="GC120" s="601"/>
      <c r="GD120" s="486"/>
      <c r="GE120" s="602"/>
      <c r="GF120" s="486"/>
      <c r="GG120" s="586"/>
      <c r="GH120" s="586"/>
      <c r="GI120" s="586"/>
      <c r="GJ120" s="486"/>
      <c r="GK120" s="601"/>
      <c r="GL120" s="486"/>
      <c r="GM120" s="602"/>
      <c r="GN120" s="486"/>
      <c r="GO120" s="586"/>
      <c r="GP120" s="586"/>
      <c r="GQ120" s="586"/>
      <c r="GR120" s="486"/>
      <c r="GS120" s="601"/>
      <c r="GT120" s="486"/>
      <c r="GU120" s="602"/>
      <c r="GV120" s="486"/>
      <c r="GW120" s="586"/>
      <c r="GX120" s="586"/>
      <c r="GY120" s="586"/>
      <c r="GZ120" s="486"/>
      <c r="HA120" s="601"/>
      <c r="HB120" s="486"/>
      <c r="HC120" s="602"/>
      <c r="HD120" s="486"/>
      <c r="HE120" s="586"/>
      <c r="HF120" s="586"/>
      <c r="HG120" s="586"/>
      <c r="HH120" s="486"/>
      <c r="HI120" s="601"/>
      <c r="HJ120" s="486"/>
      <c r="HK120" s="602"/>
      <c r="HL120" s="486"/>
      <c r="HM120" s="586"/>
      <c r="HN120" s="586"/>
      <c r="HO120" s="586"/>
      <c r="HP120" s="486"/>
      <c r="HQ120" s="601"/>
      <c r="HR120" s="486"/>
      <c r="HS120" s="602"/>
      <c r="HT120" s="486"/>
      <c r="HU120" s="586"/>
      <c r="HV120" s="586"/>
      <c r="HW120" s="586"/>
      <c r="HX120" s="486"/>
      <c r="HY120" s="601"/>
      <c r="HZ120" s="486"/>
      <c r="IA120" s="602"/>
      <c r="IB120" s="486"/>
      <c r="IC120" s="586"/>
      <c r="ID120" s="586"/>
      <c r="IE120" s="586"/>
      <c r="IF120" s="486"/>
      <c r="IG120" s="601"/>
      <c r="IH120" s="486"/>
      <c r="II120" s="602"/>
      <c r="IJ120" s="486"/>
      <c r="IK120" s="586"/>
      <c r="IL120" s="586"/>
      <c r="IM120" s="586"/>
      <c r="IN120" s="486"/>
      <c r="IO120" s="601"/>
      <c r="IP120" s="486"/>
    </row>
    <row r="121" spans="1:250" s="244" customFormat="1" ht="14.1" hidden="1" customHeight="1">
      <c r="A121" s="306" t="s">
        <v>74</v>
      </c>
      <c r="B121" s="596">
        <v>182.34199999999998</v>
      </c>
      <c r="C121" s="596">
        <v>130.06799999999998</v>
      </c>
      <c r="D121" s="609">
        <v>184.01900000000001</v>
      </c>
      <c r="E121" s="609">
        <v>447.84100000000001</v>
      </c>
      <c r="F121" s="596">
        <v>387.89499999999998</v>
      </c>
      <c r="G121" s="623">
        <v>583.23399999999992</v>
      </c>
      <c r="H121" s="604"/>
      <c r="I121" s="622">
        <v>1915.3989999999999</v>
      </c>
      <c r="J121" s="486"/>
      <c r="K121" s="602"/>
      <c r="L121" s="486"/>
      <c r="M121" s="586"/>
      <c r="N121" s="586"/>
      <c r="O121" s="586"/>
      <c r="P121" s="486"/>
      <c r="Q121" s="601"/>
      <c r="R121" s="486"/>
      <c r="S121" s="602"/>
      <c r="T121" s="486"/>
      <c r="U121" s="586"/>
      <c r="V121" s="586"/>
      <c r="W121" s="586"/>
      <c r="X121" s="486"/>
      <c r="Y121" s="601"/>
      <c r="Z121" s="486"/>
      <c r="AA121" s="602"/>
      <c r="AB121" s="486"/>
      <c r="AC121" s="586"/>
      <c r="AD121" s="586"/>
      <c r="AE121" s="586"/>
      <c r="AF121" s="486"/>
      <c r="AG121" s="601"/>
      <c r="AH121" s="486"/>
      <c r="AI121" s="602"/>
      <c r="AJ121" s="486"/>
      <c r="AK121" s="586"/>
      <c r="AL121" s="586"/>
      <c r="AM121" s="586"/>
      <c r="AN121" s="486"/>
      <c r="AO121" s="601"/>
      <c r="AP121" s="486"/>
      <c r="AQ121" s="602"/>
      <c r="AR121" s="486"/>
      <c r="AS121" s="586"/>
      <c r="AT121" s="586"/>
      <c r="AU121" s="586"/>
      <c r="AV121" s="486"/>
      <c r="AW121" s="601"/>
      <c r="AX121" s="486"/>
      <c r="AY121" s="602"/>
      <c r="AZ121" s="486"/>
      <c r="BA121" s="586"/>
      <c r="BB121" s="586"/>
      <c r="BC121" s="586"/>
      <c r="BD121" s="486"/>
      <c r="BE121" s="601"/>
      <c r="BF121" s="486"/>
      <c r="BG121" s="602"/>
      <c r="BH121" s="486"/>
      <c r="BI121" s="586"/>
      <c r="BJ121" s="586"/>
      <c r="BK121" s="586"/>
      <c r="BL121" s="486"/>
      <c r="BM121" s="601"/>
      <c r="BN121" s="486"/>
      <c r="BO121" s="602"/>
      <c r="BP121" s="486"/>
      <c r="BQ121" s="586"/>
      <c r="BR121" s="586"/>
      <c r="BS121" s="586"/>
      <c r="BT121" s="486"/>
      <c r="BU121" s="601"/>
      <c r="BV121" s="486"/>
      <c r="BW121" s="602"/>
      <c r="BX121" s="486"/>
      <c r="BY121" s="586"/>
      <c r="BZ121" s="586"/>
      <c r="CA121" s="586"/>
      <c r="CB121" s="486"/>
      <c r="CC121" s="601"/>
      <c r="CD121" s="486"/>
      <c r="CE121" s="602"/>
      <c r="CF121" s="486"/>
      <c r="CG121" s="586"/>
      <c r="CH121" s="586"/>
      <c r="CI121" s="586"/>
      <c r="CJ121" s="486"/>
      <c r="CK121" s="601"/>
      <c r="CL121" s="486"/>
      <c r="CM121" s="602"/>
      <c r="CN121" s="486"/>
      <c r="CO121" s="586"/>
      <c r="CP121" s="586"/>
      <c r="CQ121" s="586"/>
      <c r="CR121" s="486"/>
      <c r="CS121" s="601"/>
      <c r="CT121" s="486"/>
      <c r="CU121" s="602"/>
      <c r="CV121" s="486"/>
      <c r="CW121" s="586"/>
      <c r="CX121" s="586"/>
      <c r="CY121" s="586"/>
      <c r="CZ121" s="486"/>
      <c r="DA121" s="601"/>
      <c r="DB121" s="486"/>
      <c r="DC121" s="602"/>
      <c r="DD121" s="486"/>
      <c r="DE121" s="586"/>
      <c r="DF121" s="586"/>
      <c r="DG121" s="586"/>
      <c r="DH121" s="486"/>
      <c r="DI121" s="601"/>
      <c r="DJ121" s="486"/>
      <c r="DK121" s="602"/>
      <c r="DL121" s="486"/>
      <c r="DM121" s="586"/>
      <c r="DN121" s="586"/>
      <c r="DO121" s="586"/>
      <c r="DP121" s="486"/>
      <c r="DQ121" s="601"/>
      <c r="DR121" s="486"/>
      <c r="DS121" s="602"/>
      <c r="DT121" s="486"/>
      <c r="DU121" s="586"/>
      <c r="DV121" s="586"/>
      <c r="DW121" s="586"/>
      <c r="DX121" s="486"/>
      <c r="DY121" s="601"/>
      <c r="DZ121" s="486"/>
      <c r="EA121" s="602"/>
      <c r="EB121" s="486"/>
      <c r="EC121" s="586"/>
      <c r="ED121" s="586"/>
      <c r="EE121" s="586"/>
      <c r="EF121" s="486"/>
      <c r="EG121" s="601"/>
      <c r="EH121" s="486"/>
      <c r="EI121" s="602"/>
      <c r="EJ121" s="486"/>
      <c r="EK121" s="586"/>
      <c r="EL121" s="586"/>
      <c r="EM121" s="586"/>
      <c r="EN121" s="486"/>
      <c r="EO121" s="601"/>
      <c r="EP121" s="486"/>
      <c r="EQ121" s="602"/>
      <c r="ER121" s="486"/>
      <c r="ES121" s="586"/>
      <c r="ET121" s="586"/>
      <c r="EU121" s="586"/>
      <c r="EV121" s="486"/>
      <c r="EW121" s="601"/>
      <c r="EX121" s="486"/>
      <c r="EY121" s="602"/>
      <c r="EZ121" s="486"/>
      <c r="FA121" s="586"/>
      <c r="FB121" s="586"/>
      <c r="FC121" s="586"/>
      <c r="FD121" s="486"/>
      <c r="FE121" s="601"/>
      <c r="FF121" s="486"/>
      <c r="FG121" s="602"/>
      <c r="FH121" s="486"/>
      <c r="FI121" s="586"/>
      <c r="FJ121" s="586"/>
      <c r="FK121" s="586"/>
      <c r="FL121" s="486"/>
      <c r="FM121" s="601"/>
      <c r="FN121" s="486"/>
      <c r="FO121" s="602"/>
      <c r="FP121" s="486"/>
      <c r="FQ121" s="586"/>
      <c r="FR121" s="586"/>
      <c r="FS121" s="586"/>
      <c r="FT121" s="486"/>
      <c r="FU121" s="601"/>
      <c r="FV121" s="486"/>
      <c r="FW121" s="602"/>
      <c r="FX121" s="486"/>
      <c r="FY121" s="586"/>
      <c r="FZ121" s="586"/>
      <c r="GA121" s="586"/>
      <c r="GB121" s="486"/>
      <c r="GC121" s="601"/>
      <c r="GD121" s="486"/>
      <c r="GE121" s="602"/>
      <c r="GF121" s="486"/>
      <c r="GG121" s="586"/>
      <c r="GH121" s="586"/>
      <c r="GI121" s="586"/>
      <c r="GJ121" s="486"/>
      <c r="GK121" s="601"/>
      <c r="GL121" s="486"/>
      <c r="GM121" s="602"/>
      <c r="GN121" s="486"/>
      <c r="GO121" s="586"/>
      <c r="GP121" s="586"/>
      <c r="GQ121" s="586"/>
      <c r="GR121" s="486"/>
      <c r="GS121" s="601"/>
      <c r="GT121" s="486"/>
      <c r="GU121" s="602"/>
      <c r="GV121" s="486"/>
      <c r="GW121" s="586"/>
      <c r="GX121" s="586"/>
      <c r="GY121" s="586"/>
      <c r="GZ121" s="486"/>
      <c r="HA121" s="601"/>
      <c r="HB121" s="486"/>
      <c r="HC121" s="602"/>
      <c r="HD121" s="486"/>
      <c r="HE121" s="586"/>
      <c r="HF121" s="586"/>
      <c r="HG121" s="586"/>
      <c r="HH121" s="486"/>
      <c r="HI121" s="601"/>
      <c r="HJ121" s="486"/>
      <c r="HK121" s="602"/>
      <c r="HL121" s="486"/>
      <c r="HM121" s="586"/>
      <c r="HN121" s="586"/>
      <c r="HO121" s="586"/>
      <c r="HP121" s="486"/>
      <c r="HQ121" s="601"/>
      <c r="HR121" s="486"/>
      <c r="HS121" s="602"/>
      <c r="HT121" s="486"/>
      <c r="HU121" s="586"/>
      <c r="HV121" s="586"/>
      <c r="HW121" s="586"/>
      <c r="HX121" s="486"/>
      <c r="HY121" s="601"/>
      <c r="HZ121" s="486"/>
      <c r="IA121" s="602"/>
      <c r="IB121" s="486"/>
      <c r="IC121" s="586"/>
      <c r="ID121" s="586"/>
      <c r="IE121" s="586"/>
      <c r="IF121" s="486"/>
      <c r="IG121" s="601"/>
      <c r="IH121" s="486"/>
      <c r="II121" s="602"/>
      <c r="IJ121" s="486"/>
      <c r="IK121" s="586"/>
      <c r="IL121" s="586"/>
      <c r="IM121" s="586"/>
      <c r="IN121" s="486"/>
      <c r="IO121" s="601"/>
      <c r="IP121" s="486"/>
    </row>
    <row r="122" spans="1:250" s="244" customFormat="1" ht="14.1" hidden="1" customHeight="1">
      <c r="A122" s="306" t="s">
        <v>75</v>
      </c>
      <c r="B122" s="596">
        <v>179.05</v>
      </c>
      <c r="C122" s="596">
        <v>125.69199999999999</v>
      </c>
      <c r="D122" s="609">
        <v>278.23399999999998</v>
      </c>
      <c r="E122" s="609">
        <v>369.28899999999999</v>
      </c>
      <c r="F122" s="596">
        <v>362.03100000000001</v>
      </c>
      <c r="G122" s="605">
        <v>588.22799999999995</v>
      </c>
      <c r="H122" s="604"/>
      <c r="I122" s="622">
        <v>1902.5239999999999</v>
      </c>
      <c r="J122" s="486"/>
      <c r="K122" s="602"/>
      <c r="L122" s="486"/>
      <c r="M122" s="586"/>
      <c r="N122" s="586"/>
      <c r="O122" s="586"/>
      <c r="P122" s="486"/>
      <c r="Q122" s="601"/>
      <c r="R122" s="486"/>
      <c r="S122" s="602"/>
      <c r="T122" s="486"/>
      <c r="U122" s="586"/>
      <c r="V122" s="586"/>
      <c r="W122" s="586"/>
      <c r="X122" s="486"/>
      <c r="Y122" s="601"/>
      <c r="Z122" s="486"/>
      <c r="AA122" s="602"/>
      <c r="AB122" s="486"/>
      <c r="AC122" s="586"/>
      <c r="AD122" s="586"/>
      <c r="AE122" s="586"/>
      <c r="AF122" s="486"/>
      <c r="AG122" s="601"/>
      <c r="AH122" s="486"/>
      <c r="AI122" s="602"/>
      <c r="AJ122" s="486"/>
      <c r="AK122" s="586"/>
      <c r="AL122" s="586"/>
      <c r="AM122" s="586"/>
      <c r="AN122" s="486"/>
      <c r="AO122" s="601"/>
      <c r="AP122" s="486"/>
      <c r="AQ122" s="602"/>
      <c r="AR122" s="486"/>
      <c r="AS122" s="586"/>
      <c r="AT122" s="586"/>
      <c r="AU122" s="586"/>
      <c r="AV122" s="486"/>
      <c r="AW122" s="601"/>
      <c r="AX122" s="486"/>
      <c r="AY122" s="602"/>
      <c r="AZ122" s="486"/>
      <c r="BA122" s="586"/>
      <c r="BB122" s="586"/>
      <c r="BC122" s="586"/>
      <c r="BD122" s="486"/>
      <c r="BE122" s="601"/>
      <c r="BF122" s="486"/>
      <c r="BG122" s="602"/>
      <c r="BH122" s="486"/>
      <c r="BI122" s="586"/>
      <c r="BJ122" s="586"/>
      <c r="BK122" s="586"/>
      <c r="BL122" s="486"/>
      <c r="BM122" s="601"/>
      <c r="BN122" s="486"/>
      <c r="BO122" s="602"/>
      <c r="BP122" s="486"/>
      <c r="BQ122" s="586"/>
      <c r="BR122" s="586"/>
      <c r="BS122" s="586"/>
      <c r="BT122" s="486"/>
      <c r="BU122" s="601"/>
      <c r="BV122" s="486"/>
      <c r="BW122" s="602"/>
      <c r="BX122" s="486"/>
      <c r="BY122" s="586"/>
      <c r="BZ122" s="586"/>
      <c r="CA122" s="586"/>
      <c r="CB122" s="486"/>
      <c r="CC122" s="601"/>
      <c r="CD122" s="486"/>
      <c r="CE122" s="602"/>
      <c r="CF122" s="486"/>
      <c r="CG122" s="586"/>
      <c r="CH122" s="586"/>
      <c r="CI122" s="586"/>
      <c r="CJ122" s="486"/>
      <c r="CK122" s="601"/>
      <c r="CL122" s="486"/>
      <c r="CM122" s="602"/>
      <c r="CN122" s="486"/>
      <c r="CO122" s="586"/>
      <c r="CP122" s="586"/>
      <c r="CQ122" s="586"/>
      <c r="CR122" s="486"/>
      <c r="CS122" s="601"/>
      <c r="CT122" s="486"/>
      <c r="CU122" s="602"/>
      <c r="CV122" s="486"/>
      <c r="CW122" s="586"/>
      <c r="CX122" s="586"/>
      <c r="CY122" s="586"/>
      <c r="CZ122" s="486"/>
      <c r="DA122" s="601"/>
      <c r="DB122" s="486"/>
      <c r="DC122" s="602"/>
      <c r="DD122" s="486"/>
      <c r="DE122" s="586"/>
      <c r="DF122" s="586"/>
      <c r="DG122" s="586"/>
      <c r="DH122" s="486"/>
      <c r="DI122" s="601"/>
      <c r="DJ122" s="486"/>
      <c r="DK122" s="602"/>
      <c r="DL122" s="486"/>
      <c r="DM122" s="586"/>
      <c r="DN122" s="586"/>
      <c r="DO122" s="586"/>
      <c r="DP122" s="486"/>
      <c r="DQ122" s="601"/>
      <c r="DR122" s="486"/>
      <c r="DS122" s="602"/>
      <c r="DT122" s="486"/>
      <c r="DU122" s="586"/>
      <c r="DV122" s="586"/>
      <c r="DW122" s="586"/>
      <c r="DX122" s="486"/>
      <c r="DY122" s="601"/>
      <c r="DZ122" s="486"/>
      <c r="EA122" s="602"/>
      <c r="EB122" s="486"/>
      <c r="EC122" s="586"/>
      <c r="ED122" s="586"/>
      <c r="EE122" s="586"/>
      <c r="EF122" s="486"/>
      <c r="EG122" s="601"/>
      <c r="EH122" s="486"/>
      <c r="EI122" s="602"/>
      <c r="EJ122" s="486"/>
      <c r="EK122" s="586"/>
      <c r="EL122" s="586"/>
      <c r="EM122" s="586"/>
      <c r="EN122" s="486"/>
      <c r="EO122" s="601"/>
      <c r="EP122" s="486"/>
      <c r="EQ122" s="602"/>
      <c r="ER122" s="486"/>
      <c r="ES122" s="586"/>
      <c r="ET122" s="586"/>
      <c r="EU122" s="586"/>
      <c r="EV122" s="486"/>
      <c r="EW122" s="601"/>
      <c r="EX122" s="486"/>
      <c r="EY122" s="602"/>
      <c r="EZ122" s="486"/>
      <c r="FA122" s="586"/>
      <c r="FB122" s="586"/>
      <c r="FC122" s="586"/>
      <c r="FD122" s="486"/>
      <c r="FE122" s="601"/>
      <c r="FF122" s="486"/>
      <c r="FG122" s="602"/>
      <c r="FH122" s="486"/>
      <c r="FI122" s="586"/>
      <c r="FJ122" s="586"/>
      <c r="FK122" s="586"/>
      <c r="FL122" s="486"/>
      <c r="FM122" s="601"/>
      <c r="FN122" s="486"/>
      <c r="FO122" s="602"/>
      <c r="FP122" s="486"/>
      <c r="FQ122" s="586"/>
      <c r="FR122" s="586"/>
      <c r="FS122" s="586"/>
      <c r="FT122" s="486"/>
      <c r="FU122" s="601"/>
      <c r="FV122" s="486"/>
      <c r="FW122" s="602"/>
      <c r="FX122" s="486"/>
      <c r="FY122" s="586"/>
      <c r="FZ122" s="586"/>
      <c r="GA122" s="586"/>
      <c r="GB122" s="486"/>
      <c r="GC122" s="601"/>
      <c r="GD122" s="486"/>
      <c r="GE122" s="602"/>
      <c r="GF122" s="486"/>
      <c r="GG122" s="586"/>
      <c r="GH122" s="586"/>
      <c r="GI122" s="586"/>
      <c r="GJ122" s="486"/>
      <c r="GK122" s="601"/>
      <c r="GL122" s="486"/>
      <c r="GM122" s="602"/>
      <c r="GN122" s="486"/>
      <c r="GO122" s="586"/>
      <c r="GP122" s="586"/>
      <c r="GQ122" s="586"/>
      <c r="GR122" s="486"/>
      <c r="GS122" s="601"/>
      <c r="GT122" s="486"/>
      <c r="GU122" s="602"/>
      <c r="GV122" s="486"/>
      <c r="GW122" s="586"/>
      <c r="GX122" s="586"/>
      <c r="GY122" s="586"/>
      <c r="GZ122" s="486"/>
      <c r="HA122" s="601"/>
      <c r="HB122" s="486"/>
      <c r="HC122" s="602"/>
      <c r="HD122" s="486"/>
      <c r="HE122" s="586"/>
      <c r="HF122" s="586"/>
      <c r="HG122" s="586"/>
      <c r="HH122" s="486"/>
      <c r="HI122" s="601"/>
      <c r="HJ122" s="486"/>
      <c r="HK122" s="602"/>
      <c r="HL122" s="486"/>
      <c r="HM122" s="586"/>
      <c r="HN122" s="586"/>
      <c r="HO122" s="586"/>
      <c r="HP122" s="486"/>
      <c r="HQ122" s="601"/>
      <c r="HR122" s="486"/>
      <c r="HS122" s="602"/>
      <c r="HT122" s="486"/>
      <c r="HU122" s="586"/>
      <c r="HV122" s="586"/>
      <c r="HW122" s="586"/>
      <c r="HX122" s="486"/>
      <c r="HY122" s="601"/>
      <c r="HZ122" s="486"/>
      <c r="IA122" s="602"/>
      <c r="IB122" s="486"/>
      <c r="IC122" s="586"/>
      <c r="ID122" s="586"/>
      <c r="IE122" s="586"/>
      <c r="IF122" s="486"/>
      <c r="IG122" s="601"/>
      <c r="IH122" s="486"/>
      <c r="II122" s="602"/>
      <c r="IJ122" s="486"/>
      <c r="IK122" s="586"/>
      <c r="IL122" s="586"/>
      <c r="IM122" s="586"/>
      <c r="IN122" s="486"/>
      <c r="IO122" s="601"/>
      <c r="IP122" s="486"/>
    </row>
    <row r="123" spans="1:250" s="244" customFormat="1" ht="14.1" customHeight="1">
      <c r="A123" s="306" t="s">
        <v>76</v>
      </c>
      <c r="B123" s="596">
        <v>181.125</v>
      </c>
      <c r="C123" s="596">
        <v>108.437</v>
      </c>
      <c r="D123" s="609">
        <v>266.62799999999999</v>
      </c>
      <c r="E123" s="609">
        <v>365.62599999999998</v>
      </c>
      <c r="F123" s="596">
        <v>456.63600000000002</v>
      </c>
      <c r="G123" s="605">
        <v>638.596</v>
      </c>
      <c r="H123" s="604"/>
      <c r="I123" s="622">
        <v>2017.048</v>
      </c>
      <c r="J123" s="486"/>
      <c r="K123" s="602"/>
      <c r="L123" s="486"/>
      <c r="M123" s="586"/>
      <c r="N123" s="586"/>
      <c r="O123" s="586"/>
      <c r="P123" s="486"/>
      <c r="Q123" s="601"/>
      <c r="R123" s="486"/>
      <c r="S123" s="602"/>
      <c r="T123" s="486"/>
      <c r="U123" s="586"/>
      <c r="V123" s="586"/>
      <c r="W123" s="586"/>
      <c r="X123" s="486"/>
      <c r="Y123" s="601"/>
      <c r="Z123" s="486"/>
      <c r="AA123" s="602"/>
      <c r="AB123" s="486"/>
      <c r="AC123" s="586"/>
      <c r="AD123" s="586"/>
      <c r="AE123" s="586"/>
      <c r="AF123" s="486"/>
      <c r="AG123" s="601"/>
      <c r="AH123" s="486"/>
      <c r="AI123" s="602"/>
      <c r="AJ123" s="486"/>
      <c r="AK123" s="586"/>
      <c r="AL123" s="586"/>
      <c r="AM123" s="586"/>
      <c r="AN123" s="486"/>
      <c r="AO123" s="601"/>
      <c r="AP123" s="486"/>
      <c r="AQ123" s="602"/>
      <c r="AR123" s="486"/>
      <c r="AS123" s="586"/>
      <c r="AT123" s="586"/>
      <c r="AU123" s="586"/>
      <c r="AV123" s="486"/>
      <c r="AW123" s="601"/>
      <c r="AX123" s="486"/>
      <c r="AY123" s="602"/>
      <c r="AZ123" s="486"/>
      <c r="BA123" s="586"/>
      <c r="BB123" s="586"/>
      <c r="BC123" s="586"/>
      <c r="BD123" s="486"/>
      <c r="BE123" s="601"/>
      <c r="BF123" s="486"/>
      <c r="BG123" s="602"/>
      <c r="BH123" s="486"/>
      <c r="BI123" s="586"/>
      <c r="BJ123" s="586"/>
      <c r="BK123" s="586"/>
      <c r="BL123" s="486"/>
      <c r="BM123" s="601"/>
      <c r="BN123" s="486"/>
      <c r="BO123" s="602"/>
      <c r="BP123" s="486"/>
      <c r="BQ123" s="586"/>
      <c r="BR123" s="586"/>
      <c r="BS123" s="586"/>
      <c r="BT123" s="486"/>
      <c r="BU123" s="601"/>
      <c r="BV123" s="486"/>
      <c r="BW123" s="602"/>
      <c r="BX123" s="486"/>
      <c r="BY123" s="586"/>
      <c r="BZ123" s="586"/>
      <c r="CA123" s="586"/>
      <c r="CB123" s="486"/>
      <c r="CC123" s="601"/>
      <c r="CD123" s="486"/>
      <c r="CE123" s="602"/>
      <c r="CF123" s="486"/>
      <c r="CG123" s="586"/>
      <c r="CH123" s="586"/>
      <c r="CI123" s="586"/>
      <c r="CJ123" s="486"/>
      <c r="CK123" s="601"/>
      <c r="CL123" s="486"/>
      <c r="CM123" s="602"/>
      <c r="CN123" s="486"/>
      <c r="CO123" s="586"/>
      <c r="CP123" s="586"/>
      <c r="CQ123" s="586"/>
      <c r="CR123" s="486"/>
      <c r="CS123" s="601"/>
      <c r="CT123" s="486"/>
      <c r="CU123" s="602"/>
      <c r="CV123" s="486"/>
      <c r="CW123" s="586"/>
      <c r="CX123" s="586"/>
      <c r="CY123" s="586"/>
      <c r="CZ123" s="486"/>
      <c r="DA123" s="601"/>
      <c r="DB123" s="486"/>
      <c r="DC123" s="602"/>
      <c r="DD123" s="486"/>
      <c r="DE123" s="586"/>
      <c r="DF123" s="586"/>
      <c r="DG123" s="586"/>
      <c r="DH123" s="486"/>
      <c r="DI123" s="601"/>
      <c r="DJ123" s="486"/>
      <c r="DK123" s="602"/>
      <c r="DL123" s="486"/>
      <c r="DM123" s="586"/>
      <c r="DN123" s="586"/>
      <c r="DO123" s="586"/>
      <c r="DP123" s="486"/>
      <c r="DQ123" s="601"/>
      <c r="DR123" s="486"/>
      <c r="DS123" s="602"/>
      <c r="DT123" s="486"/>
      <c r="DU123" s="586"/>
      <c r="DV123" s="586"/>
      <c r="DW123" s="586"/>
      <c r="DX123" s="486"/>
      <c r="DY123" s="601"/>
      <c r="DZ123" s="486"/>
      <c r="EA123" s="602"/>
      <c r="EB123" s="486"/>
      <c r="EC123" s="586"/>
      <c r="ED123" s="586"/>
      <c r="EE123" s="586"/>
      <c r="EF123" s="486"/>
      <c r="EG123" s="601"/>
      <c r="EH123" s="486"/>
      <c r="EI123" s="602"/>
      <c r="EJ123" s="486"/>
      <c r="EK123" s="586"/>
      <c r="EL123" s="586"/>
      <c r="EM123" s="586"/>
      <c r="EN123" s="486"/>
      <c r="EO123" s="601"/>
      <c r="EP123" s="486"/>
      <c r="EQ123" s="602"/>
      <c r="ER123" s="486"/>
      <c r="ES123" s="586"/>
      <c r="ET123" s="586"/>
      <c r="EU123" s="586"/>
      <c r="EV123" s="486"/>
      <c r="EW123" s="601"/>
      <c r="EX123" s="486"/>
      <c r="EY123" s="602"/>
      <c r="EZ123" s="486"/>
      <c r="FA123" s="586"/>
      <c r="FB123" s="586"/>
      <c r="FC123" s="586"/>
      <c r="FD123" s="486"/>
      <c r="FE123" s="601"/>
      <c r="FF123" s="486"/>
      <c r="FG123" s="602"/>
      <c r="FH123" s="486"/>
      <c r="FI123" s="586"/>
      <c r="FJ123" s="586"/>
      <c r="FK123" s="586"/>
      <c r="FL123" s="486"/>
      <c r="FM123" s="601"/>
      <c r="FN123" s="486"/>
      <c r="FO123" s="602"/>
      <c r="FP123" s="486"/>
      <c r="FQ123" s="586"/>
      <c r="FR123" s="586"/>
      <c r="FS123" s="586"/>
      <c r="FT123" s="486"/>
      <c r="FU123" s="601"/>
      <c r="FV123" s="486"/>
      <c r="FW123" s="602"/>
      <c r="FX123" s="486"/>
      <c r="FY123" s="586"/>
      <c r="FZ123" s="586"/>
      <c r="GA123" s="586"/>
      <c r="GB123" s="486"/>
      <c r="GC123" s="601"/>
      <c r="GD123" s="486"/>
      <c r="GE123" s="602"/>
      <c r="GF123" s="486"/>
      <c r="GG123" s="586"/>
      <c r="GH123" s="586"/>
      <c r="GI123" s="586"/>
      <c r="GJ123" s="486"/>
      <c r="GK123" s="601"/>
      <c r="GL123" s="486"/>
      <c r="GM123" s="602"/>
      <c r="GN123" s="486"/>
      <c r="GO123" s="586"/>
      <c r="GP123" s="586"/>
      <c r="GQ123" s="586"/>
      <c r="GR123" s="486"/>
      <c r="GS123" s="601"/>
      <c r="GT123" s="486"/>
      <c r="GU123" s="602"/>
      <c r="GV123" s="486"/>
      <c r="GW123" s="586"/>
      <c r="GX123" s="586"/>
      <c r="GY123" s="586"/>
      <c r="GZ123" s="486"/>
      <c r="HA123" s="601"/>
      <c r="HB123" s="486"/>
      <c r="HC123" s="602"/>
      <c r="HD123" s="486"/>
      <c r="HE123" s="586"/>
      <c r="HF123" s="586"/>
      <c r="HG123" s="586"/>
      <c r="HH123" s="486"/>
      <c r="HI123" s="601"/>
      <c r="HJ123" s="486"/>
      <c r="HK123" s="602"/>
      <c r="HL123" s="486"/>
      <c r="HM123" s="586"/>
      <c r="HN123" s="586"/>
      <c r="HO123" s="586"/>
      <c r="HP123" s="486"/>
      <c r="HQ123" s="601"/>
      <c r="HR123" s="486"/>
      <c r="HS123" s="602"/>
      <c r="HT123" s="486"/>
      <c r="HU123" s="586"/>
      <c r="HV123" s="586"/>
      <c r="HW123" s="586"/>
      <c r="HX123" s="486"/>
      <c r="HY123" s="601"/>
      <c r="HZ123" s="486"/>
      <c r="IA123" s="602"/>
      <c r="IB123" s="486"/>
      <c r="IC123" s="586"/>
      <c r="ID123" s="586"/>
      <c r="IE123" s="586"/>
      <c r="IF123" s="486"/>
      <c r="IG123" s="601"/>
      <c r="IH123" s="486"/>
      <c r="II123" s="602"/>
      <c r="IJ123" s="486"/>
      <c r="IK123" s="586"/>
      <c r="IL123" s="586"/>
      <c r="IM123" s="586"/>
      <c r="IN123" s="486"/>
      <c r="IO123" s="601"/>
      <c r="IP123" s="486"/>
    </row>
    <row r="124" spans="1:250" s="244" customFormat="1" ht="14.1" customHeight="1">
      <c r="A124" s="306" t="s">
        <v>77</v>
      </c>
      <c r="B124" s="596">
        <v>191.50399999999999</v>
      </c>
      <c r="C124" s="596">
        <v>89.075999999999993</v>
      </c>
      <c r="D124" s="609">
        <v>293.97699999999998</v>
      </c>
      <c r="E124" s="609">
        <v>380.05599999999998</v>
      </c>
      <c r="F124" s="596">
        <v>387.536</v>
      </c>
      <c r="G124" s="596">
        <v>624.56600000000003</v>
      </c>
      <c r="H124" s="568"/>
      <c r="I124" s="622">
        <v>1966.7150000000001</v>
      </c>
      <c r="J124" s="486"/>
      <c r="K124" s="602"/>
      <c r="L124" s="486"/>
      <c r="M124" s="586"/>
      <c r="N124" s="586"/>
      <c r="O124" s="586"/>
      <c r="P124" s="486"/>
      <c r="Q124" s="601"/>
      <c r="R124" s="486"/>
      <c r="S124" s="602"/>
      <c r="T124" s="486"/>
      <c r="U124" s="586"/>
      <c r="V124" s="586"/>
      <c r="W124" s="586"/>
      <c r="X124" s="486"/>
      <c r="Y124" s="601"/>
      <c r="Z124" s="486"/>
      <c r="AA124" s="602"/>
      <c r="AB124" s="486"/>
      <c r="AC124" s="586"/>
      <c r="AD124" s="586"/>
      <c r="AE124" s="586"/>
      <c r="AF124" s="486"/>
      <c r="AG124" s="601"/>
      <c r="AH124" s="486"/>
      <c r="AI124" s="602"/>
      <c r="AJ124" s="486"/>
      <c r="AK124" s="586"/>
      <c r="AL124" s="586"/>
      <c r="AM124" s="586"/>
      <c r="AN124" s="486"/>
      <c r="AO124" s="601"/>
      <c r="AP124" s="486"/>
      <c r="AQ124" s="602"/>
      <c r="AR124" s="486"/>
      <c r="AS124" s="586"/>
      <c r="AT124" s="586"/>
      <c r="AU124" s="586"/>
      <c r="AV124" s="486"/>
      <c r="AW124" s="601"/>
      <c r="AX124" s="486"/>
      <c r="AY124" s="602"/>
      <c r="AZ124" s="486"/>
      <c r="BA124" s="586"/>
      <c r="BB124" s="586"/>
      <c r="BC124" s="586"/>
      <c r="BD124" s="486"/>
      <c r="BE124" s="601"/>
      <c r="BF124" s="486"/>
      <c r="BG124" s="602"/>
      <c r="BH124" s="486"/>
      <c r="BI124" s="586"/>
      <c r="BJ124" s="586"/>
      <c r="BK124" s="586"/>
      <c r="BL124" s="486"/>
      <c r="BM124" s="601"/>
      <c r="BN124" s="486"/>
      <c r="BO124" s="602"/>
      <c r="BP124" s="486"/>
      <c r="BQ124" s="586"/>
      <c r="BR124" s="586"/>
      <c r="BS124" s="586"/>
      <c r="BT124" s="486"/>
      <c r="BU124" s="601"/>
      <c r="BV124" s="486"/>
      <c r="BW124" s="602"/>
      <c r="BX124" s="486"/>
      <c r="BY124" s="586"/>
      <c r="BZ124" s="586"/>
      <c r="CA124" s="586"/>
      <c r="CB124" s="486"/>
      <c r="CC124" s="601"/>
      <c r="CD124" s="486"/>
      <c r="CE124" s="602"/>
      <c r="CF124" s="486"/>
      <c r="CG124" s="586"/>
      <c r="CH124" s="586"/>
      <c r="CI124" s="586"/>
      <c r="CJ124" s="486"/>
      <c r="CK124" s="601"/>
      <c r="CL124" s="486"/>
      <c r="CM124" s="602"/>
      <c r="CN124" s="486"/>
      <c r="CO124" s="586"/>
      <c r="CP124" s="586"/>
      <c r="CQ124" s="586"/>
      <c r="CR124" s="486"/>
      <c r="CS124" s="601"/>
      <c r="CT124" s="486"/>
      <c r="CU124" s="602"/>
      <c r="CV124" s="486"/>
      <c r="CW124" s="586"/>
      <c r="CX124" s="586"/>
      <c r="CY124" s="586"/>
      <c r="CZ124" s="486"/>
      <c r="DA124" s="601"/>
      <c r="DB124" s="486"/>
      <c r="DC124" s="602"/>
      <c r="DD124" s="486"/>
      <c r="DE124" s="586"/>
      <c r="DF124" s="586"/>
      <c r="DG124" s="586"/>
      <c r="DH124" s="486"/>
      <c r="DI124" s="601"/>
      <c r="DJ124" s="486"/>
      <c r="DK124" s="602"/>
      <c r="DL124" s="486"/>
      <c r="DM124" s="586"/>
      <c r="DN124" s="586"/>
      <c r="DO124" s="586"/>
      <c r="DP124" s="486"/>
      <c r="DQ124" s="601"/>
      <c r="DR124" s="486"/>
      <c r="DS124" s="602"/>
      <c r="DT124" s="486"/>
      <c r="DU124" s="586"/>
      <c r="DV124" s="586"/>
      <c r="DW124" s="586"/>
      <c r="DX124" s="486"/>
      <c r="DY124" s="601"/>
      <c r="DZ124" s="486"/>
      <c r="EA124" s="602"/>
      <c r="EB124" s="486"/>
      <c r="EC124" s="586"/>
      <c r="ED124" s="586"/>
      <c r="EE124" s="586"/>
      <c r="EF124" s="486"/>
      <c r="EG124" s="601"/>
      <c r="EH124" s="486"/>
      <c r="EI124" s="602"/>
      <c r="EJ124" s="486"/>
      <c r="EK124" s="586"/>
      <c r="EL124" s="586"/>
      <c r="EM124" s="586"/>
      <c r="EN124" s="486"/>
      <c r="EO124" s="601"/>
      <c r="EP124" s="486"/>
      <c r="EQ124" s="602"/>
      <c r="ER124" s="486"/>
      <c r="ES124" s="586"/>
      <c r="ET124" s="586"/>
      <c r="EU124" s="586"/>
      <c r="EV124" s="486"/>
      <c r="EW124" s="601"/>
      <c r="EX124" s="486"/>
      <c r="EY124" s="602"/>
      <c r="EZ124" s="486"/>
      <c r="FA124" s="586"/>
      <c r="FB124" s="586"/>
      <c r="FC124" s="586"/>
      <c r="FD124" s="486"/>
      <c r="FE124" s="601"/>
      <c r="FF124" s="486"/>
      <c r="FG124" s="602"/>
      <c r="FH124" s="486"/>
      <c r="FI124" s="586"/>
      <c r="FJ124" s="586"/>
      <c r="FK124" s="586"/>
      <c r="FL124" s="486"/>
      <c r="FM124" s="601"/>
      <c r="FN124" s="486"/>
      <c r="FO124" s="602"/>
      <c r="FP124" s="486"/>
      <c r="FQ124" s="586"/>
      <c r="FR124" s="586"/>
      <c r="FS124" s="586"/>
      <c r="FT124" s="486"/>
      <c r="FU124" s="601"/>
      <c r="FV124" s="486"/>
      <c r="FW124" s="602"/>
      <c r="FX124" s="486"/>
      <c r="FY124" s="586"/>
      <c r="FZ124" s="586"/>
      <c r="GA124" s="586"/>
      <c r="GB124" s="486"/>
      <c r="GC124" s="601"/>
      <c r="GD124" s="486"/>
      <c r="GE124" s="602"/>
      <c r="GF124" s="486"/>
      <c r="GG124" s="586"/>
      <c r="GH124" s="586"/>
      <c r="GI124" s="586"/>
      <c r="GJ124" s="486"/>
      <c r="GK124" s="601"/>
      <c r="GL124" s="486"/>
      <c r="GM124" s="602"/>
      <c r="GN124" s="486"/>
      <c r="GO124" s="586"/>
      <c r="GP124" s="586"/>
      <c r="GQ124" s="586"/>
      <c r="GR124" s="486"/>
      <c r="GS124" s="601"/>
      <c r="GT124" s="486"/>
      <c r="GU124" s="602"/>
      <c r="GV124" s="486"/>
      <c r="GW124" s="586"/>
      <c r="GX124" s="586"/>
      <c r="GY124" s="586"/>
      <c r="GZ124" s="486"/>
      <c r="HA124" s="601"/>
      <c r="HB124" s="486"/>
      <c r="HC124" s="602"/>
      <c r="HD124" s="486"/>
      <c r="HE124" s="586"/>
      <c r="HF124" s="586"/>
      <c r="HG124" s="586"/>
      <c r="HH124" s="486"/>
      <c r="HI124" s="601"/>
      <c r="HJ124" s="486"/>
      <c r="HK124" s="602"/>
      <c r="HL124" s="486"/>
      <c r="HM124" s="586"/>
      <c r="HN124" s="586"/>
      <c r="HO124" s="586"/>
      <c r="HP124" s="486"/>
      <c r="HQ124" s="601"/>
      <c r="HR124" s="486"/>
      <c r="HS124" s="602"/>
      <c r="HT124" s="486"/>
      <c r="HU124" s="586"/>
      <c r="HV124" s="586"/>
      <c r="HW124" s="586"/>
      <c r="HX124" s="486"/>
      <c r="HY124" s="601"/>
      <c r="HZ124" s="486"/>
      <c r="IA124" s="602"/>
      <c r="IB124" s="486"/>
      <c r="IC124" s="586"/>
      <c r="ID124" s="586"/>
      <c r="IE124" s="586"/>
      <c r="IF124" s="486"/>
      <c r="IG124" s="601"/>
      <c r="IH124" s="486"/>
      <c r="II124" s="602"/>
      <c r="IJ124" s="486"/>
      <c r="IK124" s="586"/>
      <c r="IL124" s="586"/>
      <c r="IM124" s="586"/>
      <c r="IN124" s="486"/>
      <c r="IO124" s="601"/>
      <c r="IP124" s="486"/>
    </row>
    <row r="125" spans="1:250" s="244" customFormat="1" ht="14.1" customHeight="1">
      <c r="A125" s="306" t="s">
        <v>78</v>
      </c>
      <c r="B125" s="596">
        <v>180.178</v>
      </c>
      <c r="C125" s="596">
        <v>100.745</v>
      </c>
      <c r="D125" s="609">
        <v>223.965</v>
      </c>
      <c r="E125" s="609">
        <v>343.99799999999999</v>
      </c>
      <c r="F125" s="596">
        <v>401.697</v>
      </c>
      <c r="G125" s="605">
        <v>788.875</v>
      </c>
      <c r="H125" s="604"/>
      <c r="I125" s="622">
        <v>2039.4580000000001</v>
      </c>
      <c r="J125" s="486"/>
      <c r="K125" s="602"/>
      <c r="L125" s="486"/>
      <c r="M125" s="586"/>
      <c r="N125" s="586"/>
      <c r="O125" s="586"/>
      <c r="P125" s="486"/>
      <c r="Q125" s="601"/>
      <c r="R125" s="486"/>
      <c r="S125" s="602"/>
      <c r="T125" s="486"/>
      <c r="U125" s="586"/>
      <c r="V125" s="586"/>
      <c r="W125" s="586"/>
      <c r="X125" s="486"/>
      <c r="Y125" s="601"/>
      <c r="Z125" s="486"/>
      <c r="AA125" s="602"/>
      <c r="AB125" s="486"/>
      <c r="AC125" s="586"/>
      <c r="AD125" s="586"/>
      <c r="AE125" s="586"/>
      <c r="AF125" s="486"/>
      <c r="AG125" s="601"/>
      <c r="AH125" s="486"/>
      <c r="AI125" s="602"/>
      <c r="AJ125" s="486"/>
      <c r="AK125" s="586"/>
      <c r="AL125" s="586"/>
      <c r="AM125" s="586"/>
      <c r="AN125" s="486"/>
      <c r="AO125" s="601"/>
      <c r="AP125" s="486"/>
      <c r="AQ125" s="602"/>
      <c r="AR125" s="486"/>
      <c r="AS125" s="586"/>
      <c r="AT125" s="586"/>
      <c r="AU125" s="586"/>
      <c r="AV125" s="486"/>
      <c r="AW125" s="601"/>
      <c r="AX125" s="486"/>
      <c r="AY125" s="602"/>
      <c r="AZ125" s="486"/>
      <c r="BA125" s="586"/>
      <c r="BB125" s="586"/>
      <c r="BC125" s="586"/>
      <c r="BD125" s="486"/>
      <c r="BE125" s="601"/>
      <c r="BF125" s="486"/>
      <c r="BG125" s="602"/>
      <c r="BH125" s="486"/>
      <c r="BI125" s="586"/>
      <c r="BJ125" s="586"/>
      <c r="BK125" s="586"/>
      <c r="BL125" s="486"/>
      <c r="BM125" s="601"/>
      <c r="BN125" s="486"/>
      <c r="BO125" s="602"/>
      <c r="BP125" s="486"/>
      <c r="BQ125" s="586"/>
      <c r="BR125" s="586"/>
      <c r="BS125" s="586"/>
      <c r="BT125" s="486"/>
      <c r="BU125" s="601"/>
      <c r="BV125" s="486"/>
      <c r="BW125" s="602"/>
      <c r="BX125" s="486"/>
      <c r="BY125" s="586"/>
      <c r="BZ125" s="586"/>
      <c r="CA125" s="586"/>
      <c r="CB125" s="486"/>
      <c r="CC125" s="601"/>
      <c r="CD125" s="486"/>
      <c r="CE125" s="602"/>
      <c r="CF125" s="486"/>
      <c r="CG125" s="586"/>
      <c r="CH125" s="586"/>
      <c r="CI125" s="586"/>
      <c r="CJ125" s="486"/>
      <c r="CK125" s="601"/>
      <c r="CL125" s="486"/>
      <c r="CM125" s="602"/>
      <c r="CN125" s="486"/>
      <c r="CO125" s="586"/>
      <c r="CP125" s="586"/>
      <c r="CQ125" s="586"/>
      <c r="CR125" s="486"/>
      <c r="CS125" s="601"/>
      <c r="CT125" s="486"/>
      <c r="CU125" s="602"/>
      <c r="CV125" s="486"/>
      <c r="CW125" s="586"/>
      <c r="CX125" s="586"/>
      <c r="CY125" s="586"/>
      <c r="CZ125" s="486"/>
      <c r="DA125" s="601"/>
      <c r="DB125" s="486"/>
      <c r="DC125" s="602"/>
      <c r="DD125" s="486"/>
      <c r="DE125" s="586"/>
      <c r="DF125" s="586"/>
      <c r="DG125" s="586"/>
      <c r="DH125" s="486"/>
      <c r="DI125" s="601"/>
      <c r="DJ125" s="486"/>
      <c r="DK125" s="602"/>
      <c r="DL125" s="486"/>
      <c r="DM125" s="586"/>
      <c r="DN125" s="586"/>
      <c r="DO125" s="586"/>
      <c r="DP125" s="486"/>
      <c r="DQ125" s="601"/>
      <c r="DR125" s="486"/>
      <c r="DS125" s="602"/>
      <c r="DT125" s="486"/>
      <c r="DU125" s="586"/>
      <c r="DV125" s="586"/>
      <c r="DW125" s="586"/>
      <c r="DX125" s="486"/>
      <c r="DY125" s="601"/>
      <c r="DZ125" s="486"/>
      <c r="EA125" s="602"/>
      <c r="EB125" s="486"/>
      <c r="EC125" s="586"/>
      <c r="ED125" s="586"/>
      <c r="EE125" s="586"/>
      <c r="EF125" s="486"/>
      <c r="EG125" s="601"/>
      <c r="EH125" s="486"/>
      <c r="EI125" s="602"/>
      <c r="EJ125" s="486"/>
      <c r="EK125" s="586"/>
      <c r="EL125" s="586"/>
      <c r="EM125" s="586"/>
      <c r="EN125" s="486"/>
      <c r="EO125" s="601"/>
      <c r="EP125" s="486"/>
      <c r="EQ125" s="602"/>
      <c r="ER125" s="486"/>
      <c r="ES125" s="586"/>
      <c r="ET125" s="586"/>
      <c r="EU125" s="586"/>
      <c r="EV125" s="486"/>
      <c r="EW125" s="601"/>
      <c r="EX125" s="486"/>
      <c r="EY125" s="602"/>
      <c r="EZ125" s="486"/>
      <c r="FA125" s="586"/>
      <c r="FB125" s="586"/>
      <c r="FC125" s="586"/>
      <c r="FD125" s="486"/>
      <c r="FE125" s="601"/>
      <c r="FF125" s="486"/>
      <c r="FG125" s="602"/>
      <c r="FH125" s="486"/>
      <c r="FI125" s="586"/>
      <c r="FJ125" s="586"/>
      <c r="FK125" s="586"/>
      <c r="FL125" s="486"/>
      <c r="FM125" s="601"/>
      <c r="FN125" s="486"/>
      <c r="FO125" s="602"/>
      <c r="FP125" s="486"/>
      <c r="FQ125" s="586"/>
      <c r="FR125" s="586"/>
      <c r="FS125" s="586"/>
      <c r="FT125" s="486"/>
      <c r="FU125" s="601"/>
      <c r="FV125" s="486"/>
      <c r="FW125" s="602"/>
      <c r="FX125" s="486"/>
      <c r="FY125" s="586"/>
      <c r="FZ125" s="586"/>
      <c r="GA125" s="586"/>
      <c r="GB125" s="486"/>
      <c r="GC125" s="601"/>
      <c r="GD125" s="486"/>
      <c r="GE125" s="602"/>
      <c r="GF125" s="486"/>
      <c r="GG125" s="586"/>
      <c r="GH125" s="586"/>
      <c r="GI125" s="586"/>
      <c r="GJ125" s="486"/>
      <c r="GK125" s="601"/>
      <c r="GL125" s="486"/>
      <c r="GM125" s="602"/>
      <c r="GN125" s="486"/>
      <c r="GO125" s="586"/>
      <c r="GP125" s="586"/>
      <c r="GQ125" s="586"/>
      <c r="GR125" s="486"/>
      <c r="GS125" s="601"/>
      <c r="GT125" s="486"/>
      <c r="GU125" s="602"/>
      <c r="GV125" s="486"/>
      <c r="GW125" s="586"/>
      <c r="GX125" s="586"/>
      <c r="GY125" s="586"/>
      <c r="GZ125" s="486"/>
      <c r="HA125" s="601"/>
      <c r="HB125" s="486"/>
      <c r="HC125" s="602"/>
      <c r="HD125" s="486"/>
      <c r="HE125" s="586"/>
      <c r="HF125" s="586"/>
      <c r="HG125" s="586"/>
      <c r="HH125" s="486"/>
      <c r="HI125" s="601"/>
      <c r="HJ125" s="486"/>
      <c r="HK125" s="602"/>
      <c r="HL125" s="486"/>
      <c r="HM125" s="586"/>
      <c r="HN125" s="586"/>
      <c r="HO125" s="586"/>
      <c r="HP125" s="486"/>
      <c r="HQ125" s="601"/>
      <c r="HR125" s="486"/>
      <c r="HS125" s="602"/>
      <c r="HT125" s="486"/>
      <c r="HU125" s="586"/>
      <c r="HV125" s="586"/>
      <c r="HW125" s="586"/>
      <c r="HX125" s="486"/>
      <c r="HY125" s="601"/>
      <c r="HZ125" s="486"/>
      <c r="IA125" s="602"/>
      <c r="IB125" s="486"/>
      <c r="IC125" s="586"/>
      <c r="ID125" s="586"/>
      <c r="IE125" s="586"/>
      <c r="IF125" s="486"/>
      <c r="IG125" s="601"/>
      <c r="IH125" s="486"/>
      <c r="II125" s="602"/>
      <c r="IJ125" s="486"/>
      <c r="IK125" s="586"/>
      <c r="IL125" s="586"/>
      <c r="IM125" s="586"/>
      <c r="IN125" s="486"/>
      <c r="IO125" s="601"/>
      <c r="IP125" s="486"/>
    </row>
    <row r="126" spans="1:250" s="244" customFormat="1" ht="14.1" customHeight="1">
      <c r="A126" s="306" t="s">
        <v>79</v>
      </c>
      <c r="B126" s="596">
        <v>175.89599999999999</v>
      </c>
      <c r="C126" s="596">
        <v>102.417</v>
      </c>
      <c r="D126" s="609">
        <v>210.13300000000001</v>
      </c>
      <c r="E126" s="609">
        <v>364.19900000000001</v>
      </c>
      <c r="F126" s="596">
        <v>313.71800000000002</v>
      </c>
      <c r="G126" s="605">
        <v>919.97299999999996</v>
      </c>
      <c r="H126" s="604"/>
      <c r="I126" s="622">
        <v>2086.3360000000002</v>
      </c>
      <c r="J126" s="486"/>
      <c r="K126" s="602"/>
      <c r="L126" s="486"/>
      <c r="M126" s="586"/>
      <c r="N126" s="586"/>
      <c r="O126" s="586"/>
      <c r="P126" s="486"/>
      <c r="Q126" s="601"/>
      <c r="R126" s="486"/>
      <c r="S126" s="602"/>
      <c r="T126" s="486"/>
      <c r="U126" s="586"/>
      <c r="V126" s="586"/>
      <c r="W126" s="586"/>
      <c r="X126" s="486"/>
      <c r="Y126" s="601"/>
      <c r="Z126" s="486"/>
      <c r="AA126" s="602"/>
      <c r="AB126" s="486"/>
      <c r="AC126" s="586"/>
      <c r="AD126" s="586"/>
      <c r="AE126" s="586"/>
      <c r="AF126" s="486"/>
      <c r="AG126" s="601"/>
      <c r="AH126" s="486"/>
      <c r="AI126" s="602"/>
      <c r="AJ126" s="486"/>
      <c r="AK126" s="586"/>
      <c r="AL126" s="586"/>
      <c r="AM126" s="586"/>
      <c r="AN126" s="486"/>
      <c r="AO126" s="601"/>
      <c r="AP126" s="486"/>
      <c r="AQ126" s="602"/>
      <c r="AR126" s="486"/>
      <c r="AS126" s="586"/>
      <c r="AT126" s="586"/>
      <c r="AU126" s="586"/>
      <c r="AV126" s="486"/>
      <c r="AW126" s="601"/>
      <c r="AX126" s="486"/>
      <c r="AY126" s="602"/>
      <c r="AZ126" s="486"/>
      <c r="BA126" s="586"/>
      <c r="BB126" s="586"/>
      <c r="BC126" s="586"/>
      <c r="BD126" s="486"/>
      <c r="BE126" s="601"/>
      <c r="BF126" s="486"/>
      <c r="BG126" s="602"/>
      <c r="BH126" s="486"/>
      <c r="BI126" s="586"/>
      <c r="BJ126" s="586"/>
      <c r="BK126" s="586"/>
      <c r="BL126" s="486"/>
      <c r="BM126" s="601"/>
      <c r="BN126" s="486"/>
      <c r="BO126" s="602"/>
      <c r="BP126" s="486"/>
      <c r="BQ126" s="586"/>
      <c r="BR126" s="586"/>
      <c r="BS126" s="586"/>
      <c r="BT126" s="486"/>
      <c r="BU126" s="601"/>
      <c r="BV126" s="486"/>
      <c r="BW126" s="602"/>
      <c r="BX126" s="486"/>
      <c r="BY126" s="586"/>
      <c r="BZ126" s="586"/>
      <c r="CA126" s="586"/>
      <c r="CB126" s="486"/>
      <c r="CC126" s="601"/>
      <c r="CD126" s="486"/>
      <c r="CE126" s="602"/>
      <c r="CF126" s="486"/>
      <c r="CG126" s="586"/>
      <c r="CH126" s="586"/>
      <c r="CI126" s="586"/>
      <c r="CJ126" s="486"/>
      <c r="CK126" s="601"/>
      <c r="CL126" s="486"/>
      <c r="CM126" s="602"/>
      <c r="CN126" s="486"/>
      <c r="CO126" s="586"/>
      <c r="CP126" s="586"/>
      <c r="CQ126" s="586"/>
      <c r="CR126" s="486"/>
      <c r="CS126" s="601"/>
      <c r="CT126" s="486"/>
      <c r="CU126" s="602"/>
      <c r="CV126" s="486"/>
      <c r="CW126" s="586"/>
      <c r="CX126" s="586"/>
      <c r="CY126" s="586"/>
      <c r="CZ126" s="486"/>
      <c r="DA126" s="601"/>
      <c r="DB126" s="486"/>
      <c r="DC126" s="602"/>
      <c r="DD126" s="486"/>
      <c r="DE126" s="586"/>
      <c r="DF126" s="586"/>
      <c r="DG126" s="586"/>
      <c r="DH126" s="486"/>
      <c r="DI126" s="601"/>
      <c r="DJ126" s="486"/>
      <c r="DK126" s="602"/>
      <c r="DL126" s="486"/>
      <c r="DM126" s="586"/>
      <c r="DN126" s="586"/>
      <c r="DO126" s="586"/>
      <c r="DP126" s="486"/>
      <c r="DQ126" s="601"/>
      <c r="DR126" s="486"/>
      <c r="DS126" s="602"/>
      <c r="DT126" s="486"/>
      <c r="DU126" s="586"/>
      <c r="DV126" s="586"/>
      <c r="DW126" s="586"/>
      <c r="DX126" s="486"/>
      <c r="DY126" s="601"/>
      <c r="DZ126" s="486"/>
      <c r="EA126" s="602"/>
      <c r="EB126" s="486"/>
      <c r="EC126" s="586"/>
      <c r="ED126" s="586"/>
      <c r="EE126" s="586"/>
      <c r="EF126" s="486"/>
      <c r="EG126" s="601"/>
      <c r="EH126" s="486"/>
      <c r="EI126" s="602"/>
      <c r="EJ126" s="486"/>
      <c r="EK126" s="586"/>
      <c r="EL126" s="586"/>
      <c r="EM126" s="586"/>
      <c r="EN126" s="486"/>
      <c r="EO126" s="601"/>
      <c r="EP126" s="486"/>
      <c r="EQ126" s="602"/>
      <c r="ER126" s="486"/>
      <c r="ES126" s="586"/>
      <c r="ET126" s="586"/>
      <c r="EU126" s="586"/>
      <c r="EV126" s="486"/>
      <c r="EW126" s="601"/>
      <c r="EX126" s="486"/>
      <c r="EY126" s="602"/>
      <c r="EZ126" s="486"/>
      <c r="FA126" s="586"/>
      <c r="FB126" s="586"/>
      <c r="FC126" s="586"/>
      <c r="FD126" s="486"/>
      <c r="FE126" s="601"/>
      <c r="FF126" s="486"/>
      <c r="FG126" s="602"/>
      <c r="FH126" s="486"/>
      <c r="FI126" s="586"/>
      <c r="FJ126" s="586"/>
      <c r="FK126" s="586"/>
      <c r="FL126" s="486"/>
      <c r="FM126" s="601"/>
      <c r="FN126" s="486"/>
      <c r="FO126" s="602"/>
      <c r="FP126" s="486"/>
      <c r="FQ126" s="586"/>
      <c r="FR126" s="586"/>
      <c r="FS126" s="586"/>
      <c r="FT126" s="486"/>
      <c r="FU126" s="601"/>
      <c r="FV126" s="486"/>
      <c r="FW126" s="602"/>
      <c r="FX126" s="486"/>
      <c r="FY126" s="586"/>
      <c r="FZ126" s="586"/>
      <c r="GA126" s="586"/>
      <c r="GB126" s="486"/>
      <c r="GC126" s="601"/>
      <c r="GD126" s="486"/>
      <c r="GE126" s="602"/>
      <c r="GF126" s="486"/>
      <c r="GG126" s="586"/>
      <c r="GH126" s="586"/>
      <c r="GI126" s="586"/>
      <c r="GJ126" s="486"/>
      <c r="GK126" s="601"/>
      <c r="GL126" s="486"/>
      <c r="GM126" s="602"/>
      <c r="GN126" s="486"/>
      <c r="GO126" s="586"/>
      <c r="GP126" s="586"/>
      <c r="GQ126" s="586"/>
      <c r="GR126" s="486"/>
      <c r="GS126" s="601"/>
      <c r="GT126" s="486"/>
      <c r="GU126" s="602"/>
      <c r="GV126" s="486"/>
      <c r="GW126" s="586"/>
      <c r="GX126" s="586"/>
      <c r="GY126" s="586"/>
      <c r="GZ126" s="486"/>
      <c r="HA126" s="601"/>
      <c r="HB126" s="486"/>
      <c r="HC126" s="602"/>
      <c r="HD126" s="486"/>
      <c r="HE126" s="586"/>
      <c r="HF126" s="586"/>
      <c r="HG126" s="586"/>
      <c r="HH126" s="486"/>
      <c r="HI126" s="601"/>
      <c r="HJ126" s="486"/>
      <c r="HK126" s="602"/>
      <c r="HL126" s="486"/>
      <c r="HM126" s="586"/>
      <c r="HN126" s="586"/>
      <c r="HO126" s="586"/>
      <c r="HP126" s="486"/>
      <c r="HQ126" s="601"/>
      <c r="HR126" s="486"/>
      <c r="HS126" s="602"/>
      <c r="HT126" s="486"/>
      <c r="HU126" s="586"/>
      <c r="HV126" s="586"/>
      <c r="HW126" s="586"/>
      <c r="HX126" s="486"/>
      <c r="HY126" s="601"/>
      <c r="HZ126" s="486"/>
      <c r="IA126" s="602"/>
      <c r="IB126" s="486"/>
      <c r="IC126" s="586"/>
      <c r="ID126" s="586"/>
      <c r="IE126" s="586"/>
      <c r="IF126" s="486"/>
      <c r="IG126" s="601"/>
      <c r="IH126" s="486"/>
      <c r="II126" s="602"/>
      <c r="IJ126" s="486"/>
      <c r="IK126" s="586"/>
      <c r="IL126" s="586"/>
      <c r="IM126" s="586"/>
      <c r="IN126" s="486"/>
      <c r="IO126" s="601"/>
      <c r="IP126" s="486"/>
    </row>
    <row r="127" spans="1:250" s="244" customFormat="1" ht="14.1" customHeight="1">
      <c r="A127" s="306" t="s">
        <v>80</v>
      </c>
      <c r="B127" s="596">
        <v>184.52799999999999</v>
      </c>
      <c r="C127" s="624">
        <v>87.966999999999999</v>
      </c>
      <c r="D127" s="610">
        <v>182.387</v>
      </c>
      <c r="E127" s="610">
        <v>268.084</v>
      </c>
      <c r="F127" s="596">
        <v>489.851</v>
      </c>
      <c r="G127" s="549">
        <v>363.32499999999999</v>
      </c>
      <c r="H127" s="568">
        <v>592.09500000000003</v>
      </c>
      <c r="I127" s="606">
        <v>2168.2370000000001</v>
      </c>
      <c r="J127" s="486"/>
      <c r="K127" s="602"/>
      <c r="L127" s="486"/>
      <c r="M127" s="608"/>
      <c r="N127" s="608"/>
      <c r="O127" s="608"/>
      <c r="P127" s="486"/>
      <c r="Q127" s="601"/>
      <c r="R127" s="486"/>
      <c r="S127" s="602"/>
      <c r="T127" s="486"/>
      <c r="U127" s="608"/>
      <c r="V127" s="608"/>
      <c r="W127" s="608"/>
      <c r="X127" s="486"/>
      <c r="Y127" s="601"/>
      <c r="Z127" s="486"/>
      <c r="AA127" s="602"/>
      <c r="AB127" s="486"/>
      <c r="AC127" s="608"/>
      <c r="AD127" s="608"/>
      <c r="AE127" s="608"/>
      <c r="AF127" s="486"/>
      <c r="AG127" s="601"/>
      <c r="AH127" s="486"/>
      <c r="AI127" s="602"/>
      <c r="AJ127" s="486"/>
      <c r="AK127" s="608"/>
      <c r="AL127" s="608"/>
      <c r="AM127" s="608"/>
      <c r="AN127" s="486"/>
      <c r="AO127" s="601"/>
      <c r="AP127" s="486"/>
      <c r="AQ127" s="602"/>
      <c r="AR127" s="486"/>
      <c r="AS127" s="608"/>
      <c r="AT127" s="608"/>
      <c r="AU127" s="608"/>
      <c r="AV127" s="486"/>
      <c r="AW127" s="601"/>
      <c r="AX127" s="486"/>
      <c r="AY127" s="602"/>
      <c r="AZ127" s="486"/>
      <c r="BA127" s="608"/>
      <c r="BB127" s="608"/>
      <c r="BC127" s="608"/>
      <c r="BD127" s="486"/>
      <c r="BE127" s="601"/>
      <c r="BF127" s="486"/>
      <c r="BG127" s="602"/>
      <c r="BH127" s="486"/>
      <c r="BI127" s="608"/>
      <c r="BJ127" s="608"/>
      <c r="BK127" s="608"/>
      <c r="BL127" s="486"/>
      <c r="BM127" s="601"/>
      <c r="BN127" s="486"/>
      <c r="BO127" s="602"/>
      <c r="BP127" s="486"/>
      <c r="BQ127" s="608"/>
      <c r="BR127" s="608"/>
      <c r="BS127" s="608"/>
      <c r="BT127" s="486"/>
      <c r="BU127" s="601"/>
      <c r="BV127" s="486"/>
      <c r="BW127" s="602"/>
      <c r="BX127" s="486"/>
      <c r="BY127" s="608"/>
      <c r="BZ127" s="608"/>
      <c r="CA127" s="608"/>
      <c r="CB127" s="486"/>
      <c r="CC127" s="601"/>
      <c r="CD127" s="486"/>
      <c r="CE127" s="602"/>
      <c r="CF127" s="486"/>
      <c r="CG127" s="608"/>
      <c r="CH127" s="608"/>
      <c r="CI127" s="608"/>
      <c r="CJ127" s="486"/>
      <c r="CK127" s="601"/>
      <c r="CL127" s="486"/>
      <c r="CM127" s="602"/>
      <c r="CN127" s="486"/>
      <c r="CO127" s="608"/>
      <c r="CP127" s="608"/>
      <c r="CQ127" s="608"/>
      <c r="CR127" s="486"/>
      <c r="CS127" s="601"/>
      <c r="CT127" s="486"/>
      <c r="CU127" s="602"/>
      <c r="CV127" s="486"/>
      <c r="CW127" s="608"/>
      <c r="CX127" s="608"/>
      <c r="CY127" s="608"/>
      <c r="CZ127" s="486"/>
      <c r="DA127" s="601"/>
      <c r="DB127" s="486"/>
      <c r="DC127" s="602"/>
      <c r="DD127" s="486"/>
      <c r="DE127" s="608"/>
      <c r="DF127" s="608"/>
      <c r="DG127" s="608"/>
      <c r="DH127" s="486"/>
      <c r="DI127" s="601"/>
      <c r="DJ127" s="486"/>
      <c r="DK127" s="602"/>
      <c r="DL127" s="486"/>
      <c r="DM127" s="608"/>
      <c r="DN127" s="608"/>
      <c r="DO127" s="608"/>
      <c r="DP127" s="486"/>
      <c r="DQ127" s="601"/>
      <c r="DR127" s="486"/>
      <c r="DS127" s="602"/>
      <c r="DT127" s="486"/>
      <c r="DU127" s="608"/>
      <c r="DV127" s="608"/>
      <c r="DW127" s="608"/>
      <c r="DX127" s="486"/>
      <c r="DY127" s="601"/>
      <c r="DZ127" s="486"/>
      <c r="EA127" s="602"/>
      <c r="EB127" s="486"/>
      <c r="EC127" s="608"/>
      <c r="ED127" s="608"/>
      <c r="EE127" s="608"/>
      <c r="EF127" s="486"/>
      <c r="EG127" s="601"/>
      <c r="EH127" s="486"/>
      <c r="EI127" s="602"/>
      <c r="EJ127" s="486"/>
      <c r="EK127" s="608"/>
      <c r="EL127" s="608"/>
      <c r="EM127" s="608"/>
      <c r="EN127" s="486"/>
      <c r="EO127" s="601"/>
      <c r="EP127" s="486"/>
      <c r="EQ127" s="602"/>
      <c r="ER127" s="486"/>
      <c r="ES127" s="608"/>
      <c r="ET127" s="608"/>
      <c r="EU127" s="608"/>
      <c r="EV127" s="486"/>
      <c r="EW127" s="601"/>
      <c r="EX127" s="486"/>
      <c r="EY127" s="602"/>
      <c r="EZ127" s="486"/>
      <c r="FA127" s="608"/>
      <c r="FB127" s="608"/>
      <c r="FC127" s="608"/>
      <c r="FD127" s="486"/>
      <c r="FE127" s="601"/>
      <c r="FF127" s="486"/>
      <c r="FG127" s="602"/>
      <c r="FH127" s="486"/>
      <c r="FI127" s="608"/>
      <c r="FJ127" s="608"/>
      <c r="FK127" s="608"/>
      <c r="FL127" s="486"/>
      <c r="FM127" s="601"/>
      <c r="FN127" s="486"/>
      <c r="FO127" s="602"/>
      <c r="FP127" s="486"/>
      <c r="FQ127" s="608"/>
      <c r="FR127" s="608"/>
      <c r="FS127" s="608"/>
      <c r="FT127" s="486"/>
      <c r="FU127" s="601"/>
      <c r="FV127" s="486"/>
      <c r="FW127" s="602"/>
      <c r="FX127" s="486"/>
      <c r="FY127" s="608"/>
      <c r="FZ127" s="608"/>
      <c r="GA127" s="608"/>
      <c r="GB127" s="486"/>
      <c r="GC127" s="601"/>
      <c r="GD127" s="486"/>
      <c r="GE127" s="602"/>
      <c r="GF127" s="486"/>
      <c r="GG127" s="608"/>
      <c r="GH127" s="608"/>
      <c r="GI127" s="608"/>
      <c r="GJ127" s="486"/>
      <c r="GK127" s="601"/>
      <c r="GL127" s="486"/>
      <c r="GM127" s="602"/>
      <c r="GN127" s="486"/>
      <c r="GO127" s="608"/>
      <c r="GP127" s="608"/>
      <c r="GQ127" s="608"/>
      <c r="GR127" s="486"/>
      <c r="GS127" s="601"/>
      <c r="GT127" s="486"/>
      <c r="GU127" s="602"/>
      <c r="GV127" s="486"/>
      <c r="GW127" s="608"/>
      <c r="GX127" s="608"/>
      <c r="GY127" s="608"/>
      <c r="GZ127" s="486"/>
      <c r="HA127" s="601"/>
      <c r="HB127" s="486"/>
      <c r="HC127" s="602"/>
      <c r="HD127" s="486"/>
      <c r="HE127" s="608"/>
      <c r="HF127" s="608"/>
      <c r="HG127" s="608"/>
      <c r="HH127" s="486"/>
      <c r="HI127" s="601"/>
      <c r="HJ127" s="486"/>
      <c r="HK127" s="602"/>
      <c r="HL127" s="486"/>
      <c r="HM127" s="608"/>
      <c r="HN127" s="608"/>
      <c r="HO127" s="608"/>
      <c r="HP127" s="486"/>
      <c r="HQ127" s="601"/>
      <c r="HR127" s="486"/>
      <c r="HS127" s="602"/>
      <c r="HT127" s="486"/>
      <c r="HU127" s="608"/>
      <c r="HV127" s="608"/>
      <c r="HW127" s="608"/>
      <c r="HX127" s="486"/>
      <c r="HY127" s="601"/>
      <c r="HZ127" s="486"/>
      <c r="IA127" s="602"/>
      <c r="IB127" s="486"/>
      <c r="IC127" s="608"/>
      <c r="ID127" s="608"/>
      <c r="IE127" s="608"/>
      <c r="IF127" s="486"/>
      <c r="IG127" s="601"/>
      <c r="IH127" s="486"/>
      <c r="II127" s="602"/>
      <c r="IJ127" s="486"/>
      <c r="IK127" s="608"/>
      <c r="IL127" s="608"/>
      <c r="IM127" s="608"/>
      <c r="IN127" s="486"/>
      <c r="IO127" s="601"/>
      <c r="IP127" s="486"/>
    </row>
    <row r="128" spans="1:250" s="244" customFormat="1" ht="14.1" customHeight="1">
      <c r="A128" s="306" t="s">
        <v>81</v>
      </c>
      <c r="B128" s="596">
        <v>182.76900000000001</v>
      </c>
      <c r="C128" s="611">
        <v>94.688999999999993</v>
      </c>
      <c r="D128" s="610">
        <f>132.258-2.426</f>
        <v>129.83200000000002</v>
      </c>
      <c r="E128" s="609">
        <f>397.412-37.63</f>
        <v>359.78199999999998</v>
      </c>
      <c r="F128" s="609">
        <v>551.27099999999996</v>
      </c>
      <c r="G128" s="1276">
        <f>1096.214-256.525</f>
        <v>839.68899999999996</v>
      </c>
      <c r="H128" s="1277"/>
      <c r="I128" s="606">
        <f>SUM(B128:H128)</f>
        <v>2158.0319999999997</v>
      </c>
      <c r="J128" s="486"/>
      <c r="K128" s="602"/>
      <c r="L128" s="486"/>
      <c r="M128" s="608"/>
      <c r="N128" s="608"/>
      <c r="O128" s="608"/>
      <c r="P128" s="486"/>
      <c r="Q128" s="601"/>
      <c r="R128" s="486"/>
      <c r="S128" s="602"/>
      <c r="T128" s="486"/>
      <c r="U128" s="608"/>
      <c r="V128" s="608"/>
      <c r="W128" s="608"/>
      <c r="X128" s="486"/>
      <c r="Y128" s="601"/>
      <c r="Z128" s="486"/>
      <c r="AA128" s="602"/>
      <c r="AB128" s="486"/>
      <c r="AC128" s="608"/>
      <c r="AD128" s="608"/>
      <c r="AE128" s="608"/>
      <c r="AF128" s="486"/>
      <c r="AG128" s="601"/>
      <c r="AH128" s="486"/>
      <c r="AI128" s="602"/>
      <c r="AJ128" s="486"/>
      <c r="AK128" s="608"/>
      <c r="AL128" s="608"/>
      <c r="AM128" s="608"/>
      <c r="AN128" s="486"/>
      <c r="AO128" s="601"/>
      <c r="AP128" s="486"/>
      <c r="AQ128" s="602"/>
      <c r="AR128" s="486"/>
      <c r="AS128" s="608"/>
      <c r="AT128" s="608"/>
      <c r="AU128" s="608"/>
      <c r="AV128" s="486"/>
      <c r="AW128" s="601"/>
      <c r="AX128" s="486"/>
      <c r="AY128" s="602"/>
      <c r="AZ128" s="486"/>
      <c r="BA128" s="608"/>
      <c r="BB128" s="608"/>
      <c r="BC128" s="608"/>
      <c r="BD128" s="486"/>
      <c r="BE128" s="601"/>
      <c r="BF128" s="486"/>
      <c r="BG128" s="602"/>
      <c r="BH128" s="486"/>
      <c r="BI128" s="608"/>
      <c r="BJ128" s="608"/>
      <c r="BK128" s="608"/>
      <c r="BL128" s="486"/>
      <c r="BM128" s="601"/>
      <c r="BN128" s="486"/>
      <c r="BO128" s="602"/>
      <c r="BP128" s="486"/>
      <c r="BQ128" s="608"/>
      <c r="BR128" s="608"/>
      <c r="BS128" s="608"/>
      <c r="BT128" s="486"/>
      <c r="BU128" s="601"/>
      <c r="BV128" s="486"/>
      <c r="BW128" s="602"/>
      <c r="BX128" s="486"/>
      <c r="BY128" s="608"/>
      <c r="BZ128" s="608"/>
      <c r="CA128" s="608"/>
      <c r="CB128" s="486"/>
      <c r="CC128" s="601"/>
      <c r="CD128" s="486"/>
      <c r="CE128" s="602"/>
      <c r="CF128" s="486"/>
      <c r="CG128" s="608"/>
      <c r="CH128" s="608"/>
      <c r="CI128" s="608"/>
      <c r="CJ128" s="486"/>
      <c r="CK128" s="601"/>
      <c r="CL128" s="486"/>
      <c r="CM128" s="602"/>
      <c r="CN128" s="486"/>
      <c r="CO128" s="608"/>
      <c r="CP128" s="608"/>
      <c r="CQ128" s="608"/>
      <c r="CR128" s="486"/>
      <c r="CS128" s="601"/>
      <c r="CT128" s="486"/>
      <c r="CU128" s="602"/>
      <c r="CV128" s="486"/>
      <c r="CW128" s="608"/>
      <c r="CX128" s="608"/>
      <c r="CY128" s="608"/>
      <c r="CZ128" s="486"/>
      <c r="DA128" s="601"/>
      <c r="DB128" s="486"/>
      <c r="DC128" s="602"/>
      <c r="DD128" s="486"/>
      <c r="DE128" s="608"/>
      <c r="DF128" s="608"/>
      <c r="DG128" s="608"/>
      <c r="DH128" s="486"/>
      <c r="DI128" s="601"/>
      <c r="DJ128" s="486"/>
      <c r="DK128" s="602"/>
      <c r="DL128" s="486"/>
      <c r="DM128" s="608"/>
      <c r="DN128" s="608"/>
      <c r="DO128" s="608"/>
      <c r="DP128" s="486"/>
      <c r="DQ128" s="601"/>
      <c r="DR128" s="486"/>
      <c r="DS128" s="602"/>
      <c r="DT128" s="486"/>
      <c r="DU128" s="608"/>
      <c r="DV128" s="608"/>
      <c r="DW128" s="608"/>
      <c r="DX128" s="486"/>
      <c r="DY128" s="601"/>
      <c r="DZ128" s="486"/>
      <c r="EA128" s="602"/>
      <c r="EB128" s="486"/>
      <c r="EC128" s="608"/>
      <c r="ED128" s="608"/>
      <c r="EE128" s="608"/>
      <c r="EF128" s="486"/>
      <c r="EG128" s="601"/>
      <c r="EH128" s="486"/>
      <c r="EI128" s="602"/>
      <c r="EJ128" s="486"/>
      <c r="EK128" s="608"/>
      <c r="EL128" s="608"/>
      <c r="EM128" s="608"/>
      <c r="EN128" s="486"/>
      <c r="EO128" s="601"/>
      <c r="EP128" s="486"/>
      <c r="EQ128" s="602"/>
      <c r="ER128" s="486"/>
      <c r="ES128" s="608"/>
      <c r="ET128" s="608"/>
      <c r="EU128" s="608"/>
      <c r="EV128" s="486"/>
      <c r="EW128" s="601"/>
      <c r="EX128" s="486"/>
      <c r="EY128" s="602"/>
      <c r="EZ128" s="486"/>
      <c r="FA128" s="608"/>
      <c r="FB128" s="608"/>
      <c r="FC128" s="608"/>
      <c r="FD128" s="486"/>
      <c r="FE128" s="601"/>
      <c r="FF128" s="486"/>
      <c r="FG128" s="602"/>
      <c r="FH128" s="486"/>
      <c r="FI128" s="608"/>
      <c r="FJ128" s="608"/>
      <c r="FK128" s="608"/>
      <c r="FL128" s="486"/>
      <c r="FM128" s="601"/>
      <c r="FN128" s="486"/>
      <c r="FO128" s="602"/>
      <c r="FP128" s="486"/>
      <c r="FQ128" s="608"/>
      <c r="FR128" s="608"/>
      <c r="FS128" s="608"/>
      <c r="FT128" s="486"/>
      <c r="FU128" s="601"/>
      <c r="FV128" s="486"/>
      <c r="FW128" s="602"/>
      <c r="FX128" s="486"/>
      <c r="FY128" s="608"/>
      <c r="FZ128" s="608"/>
      <c r="GA128" s="608"/>
      <c r="GB128" s="486"/>
      <c r="GC128" s="601"/>
      <c r="GD128" s="486"/>
      <c r="GE128" s="602"/>
      <c r="GF128" s="486"/>
      <c r="GG128" s="608"/>
      <c r="GH128" s="608"/>
      <c r="GI128" s="608"/>
      <c r="GJ128" s="486"/>
      <c r="GK128" s="601"/>
      <c r="GL128" s="486"/>
      <c r="GM128" s="602"/>
      <c r="GN128" s="486"/>
      <c r="GO128" s="608"/>
      <c r="GP128" s="608"/>
      <c r="GQ128" s="608"/>
      <c r="GR128" s="486"/>
      <c r="GS128" s="601"/>
      <c r="GT128" s="486"/>
      <c r="GU128" s="602"/>
      <c r="GV128" s="486"/>
      <c r="GW128" s="608"/>
      <c r="GX128" s="608"/>
      <c r="GY128" s="608"/>
      <c r="GZ128" s="486"/>
      <c r="HA128" s="601"/>
      <c r="HB128" s="486"/>
      <c r="HC128" s="602"/>
      <c r="HD128" s="486"/>
      <c r="HE128" s="608"/>
      <c r="HF128" s="608"/>
      <c r="HG128" s="608"/>
      <c r="HH128" s="486"/>
      <c r="HI128" s="601"/>
      <c r="HJ128" s="486"/>
      <c r="HK128" s="602"/>
      <c r="HL128" s="486"/>
      <c r="HM128" s="608"/>
      <c r="HN128" s="608"/>
      <c r="HO128" s="608"/>
      <c r="HP128" s="486"/>
      <c r="HQ128" s="601"/>
      <c r="HR128" s="486"/>
      <c r="HS128" s="602"/>
      <c r="HT128" s="486"/>
      <c r="HU128" s="608"/>
      <c r="HV128" s="608"/>
      <c r="HW128" s="608"/>
      <c r="HX128" s="486"/>
      <c r="HY128" s="601"/>
      <c r="HZ128" s="486"/>
      <c r="IA128" s="602"/>
      <c r="IB128" s="486"/>
      <c r="IC128" s="608"/>
      <c r="ID128" s="608"/>
      <c r="IE128" s="608"/>
      <c r="IF128" s="486"/>
      <c r="IG128" s="601"/>
      <c r="IH128" s="486"/>
      <c r="II128" s="602"/>
      <c r="IJ128" s="486"/>
      <c r="IK128" s="608"/>
      <c r="IL128" s="608"/>
      <c r="IM128" s="608"/>
      <c r="IN128" s="486"/>
      <c r="IO128" s="601"/>
      <c r="IP128" s="486"/>
    </row>
    <row r="129" spans="1:250" s="244" customFormat="1" ht="14.1" customHeight="1">
      <c r="A129" s="306" t="s">
        <v>82</v>
      </c>
      <c r="B129" s="596">
        <v>166.881</v>
      </c>
      <c r="C129" s="611">
        <v>102.99</v>
      </c>
      <c r="D129" s="610">
        <v>131.80000000000001</v>
      </c>
      <c r="E129" s="609">
        <v>275.67700000000002</v>
      </c>
      <c r="F129" s="609">
        <v>524.27700000000004</v>
      </c>
      <c r="G129" s="623">
        <v>939.21800000000007</v>
      </c>
      <c r="H129" s="607"/>
      <c r="I129" s="606">
        <v>2140.8429999999998</v>
      </c>
      <c r="J129" s="486"/>
      <c r="K129" s="602"/>
      <c r="L129" s="486"/>
      <c r="M129" s="608"/>
      <c r="N129" s="608"/>
      <c r="O129" s="608"/>
      <c r="P129" s="486"/>
      <c r="Q129" s="601"/>
      <c r="R129" s="486"/>
      <c r="S129" s="602"/>
      <c r="T129" s="486"/>
      <c r="U129" s="608"/>
      <c r="V129" s="608"/>
      <c r="W129" s="608"/>
      <c r="X129" s="486"/>
      <c r="Y129" s="601"/>
      <c r="Z129" s="486"/>
      <c r="AA129" s="602"/>
      <c r="AB129" s="486"/>
      <c r="AC129" s="608"/>
      <c r="AD129" s="608"/>
      <c r="AE129" s="608"/>
      <c r="AF129" s="486"/>
      <c r="AG129" s="601"/>
      <c r="AH129" s="486"/>
      <c r="AI129" s="602"/>
      <c r="AJ129" s="486"/>
      <c r="AK129" s="608"/>
      <c r="AL129" s="608"/>
      <c r="AM129" s="608"/>
      <c r="AN129" s="486"/>
      <c r="AO129" s="601"/>
      <c r="AP129" s="486"/>
      <c r="AQ129" s="602"/>
      <c r="AR129" s="486"/>
      <c r="AS129" s="608"/>
      <c r="AT129" s="608"/>
      <c r="AU129" s="608"/>
      <c r="AV129" s="486"/>
      <c r="AW129" s="601"/>
      <c r="AX129" s="486"/>
      <c r="AY129" s="602"/>
      <c r="AZ129" s="486"/>
      <c r="BA129" s="608"/>
      <c r="BB129" s="608"/>
      <c r="BC129" s="608"/>
      <c r="BD129" s="486"/>
      <c r="BE129" s="601"/>
      <c r="BF129" s="486"/>
      <c r="BG129" s="602"/>
      <c r="BH129" s="486"/>
      <c r="BI129" s="608"/>
      <c r="BJ129" s="608"/>
      <c r="BK129" s="608"/>
      <c r="BL129" s="486"/>
      <c r="BM129" s="601"/>
      <c r="BN129" s="486"/>
      <c r="BO129" s="602"/>
      <c r="BP129" s="486"/>
      <c r="BQ129" s="608"/>
      <c r="BR129" s="608"/>
      <c r="BS129" s="608"/>
      <c r="BT129" s="486"/>
      <c r="BU129" s="601"/>
      <c r="BV129" s="486"/>
      <c r="BW129" s="602"/>
      <c r="BX129" s="486"/>
      <c r="BY129" s="608"/>
      <c r="BZ129" s="608"/>
      <c r="CA129" s="608"/>
      <c r="CB129" s="486"/>
      <c r="CC129" s="601"/>
      <c r="CD129" s="486"/>
      <c r="CE129" s="602"/>
      <c r="CF129" s="486"/>
      <c r="CG129" s="608"/>
      <c r="CH129" s="608"/>
      <c r="CI129" s="608"/>
      <c r="CJ129" s="486"/>
      <c r="CK129" s="601"/>
      <c r="CL129" s="486"/>
      <c r="CM129" s="602"/>
      <c r="CN129" s="486"/>
      <c r="CO129" s="608"/>
      <c r="CP129" s="608"/>
      <c r="CQ129" s="608"/>
      <c r="CR129" s="486"/>
      <c r="CS129" s="601"/>
      <c r="CT129" s="486"/>
      <c r="CU129" s="602"/>
      <c r="CV129" s="486"/>
      <c r="CW129" s="608"/>
      <c r="CX129" s="608"/>
      <c r="CY129" s="608"/>
      <c r="CZ129" s="486"/>
      <c r="DA129" s="601"/>
      <c r="DB129" s="486"/>
      <c r="DC129" s="602"/>
      <c r="DD129" s="486"/>
      <c r="DE129" s="608"/>
      <c r="DF129" s="608"/>
      <c r="DG129" s="608"/>
      <c r="DH129" s="486"/>
      <c r="DI129" s="601"/>
      <c r="DJ129" s="486"/>
      <c r="DK129" s="602"/>
      <c r="DL129" s="486"/>
      <c r="DM129" s="608"/>
      <c r="DN129" s="608"/>
      <c r="DO129" s="608"/>
      <c r="DP129" s="486"/>
      <c r="DQ129" s="601"/>
      <c r="DR129" s="486"/>
      <c r="DS129" s="602"/>
      <c r="DT129" s="486"/>
      <c r="DU129" s="608"/>
      <c r="DV129" s="608"/>
      <c r="DW129" s="608"/>
      <c r="DX129" s="486"/>
      <c r="DY129" s="601"/>
      <c r="DZ129" s="486"/>
      <c r="EA129" s="602"/>
      <c r="EB129" s="486"/>
      <c r="EC129" s="608"/>
      <c r="ED129" s="608"/>
      <c r="EE129" s="608"/>
      <c r="EF129" s="486"/>
      <c r="EG129" s="601"/>
      <c r="EH129" s="486"/>
      <c r="EI129" s="602"/>
      <c r="EJ129" s="486"/>
      <c r="EK129" s="608"/>
      <c r="EL129" s="608"/>
      <c r="EM129" s="608"/>
      <c r="EN129" s="486"/>
      <c r="EO129" s="601"/>
      <c r="EP129" s="486"/>
      <c r="EQ129" s="602"/>
      <c r="ER129" s="486"/>
      <c r="ES129" s="608"/>
      <c r="ET129" s="608"/>
      <c r="EU129" s="608"/>
      <c r="EV129" s="486"/>
      <c r="EW129" s="601"/>
      <c r="EX129" s="486"/>
      <c r="EY129" s="602"/>
      <c r="EZ129" s="486"/>
      <c r="FA129" s="608"/>
      <c r="FB129" s="608"/>
      <c r="FC129" s="608"/>
      <c r="FD129" s="486"/>
      <c r="FE129" s="601"/>
      <c r="FF129" s="486"/>
      <c r="FG129" s="602"/>
      <c r="FH129" s="486"/>
      <c r="FI129" s="608"/>
      <c r="FJ129" s="608"/>
      <c r="FK129" s="608"/>
      <c r="FL129" s="486"/>
      <c r="FM129" s="601"/>
      <c r="FN129" s="486"/>
      <c r="FO129" s="602"/>
      <c r="FP129" s="486"/>
      <c r="FQ129" s="608"/>
      <c r="FR129" s="608"/>
      <c r="FS129" s="608"/>
      <c r="FT129" s="486"/>
      <c r="FU129" s="601"/>
      <c r="FV129" s="486"/>
      <c r="FW129" s="602"/>
      <c r="FX129" s="486"/>
      <c r="FY129" s="608"/>
      <c r="FZ129" s="608"/>
      <c r="GA129" s="608"/>
      <c r="GB129" s="486"/>
      <c r="GC129" s="601"/>
      <c r="GD129" s="486"/>
      <c r="GE129" s="602"/>
      <c r="GF129" s="486"/>
      <c r="GG129" s="608"/>
      <c r="GH129" s="608"/>
      <c r="GI129" s="608"/>
      <c r="GJ129" s="486"/>
      <c r="GK129" s="601"/>
      <c r="GL129" s="486"/>
      <c r="GM129" s="602"/>
      <c r="GN129" s="486"/>
      <c r="GO129" s="608"/>
      <c r="GP129" s="608"/>
      <c r="GQ129" s="608"/>
      <c r="GR129" s="486"/>
      <c r="GS129" s="601"/>
      <c r="GT129" s="486"/>
      <c r="GU129" s="602"/>
      <c r="GV129" s="486"/>
      <c r="GW129" s="608"/>
      <c r="GX129" s="608"/>
      <c r="GY129" s="608"/>
      <c r="GZ129" s="486"/>
      <c r="HA129" s="601"/>
      <c r="HB129" s="486"/>
      <c r="HC129" s="602"/>
      <c r="HD129" s="486"/>
      <c r="HE129" s="608"/>
      <c r="HF129" s="608"/>
      <c r="HG129" s="608"/>
      <c r="HH129" s="486"/>
      <c r="HI129" s="601"/>
      <c r="HJ129" s="486"/>
      <c r="HK129" s="602"/>
      <c r="HL129" s="486"/>
      <c r="HM129" s="608"/>
      <c r="HN129" s="608"/>
      <c r="HO129" s="608"/>
      <c r="HP129" s="486"/>
      <c r="HQ129" s="601"/>
      <c r="HR129" s="486"/>
      <c r="HS129" s="602"/>
      <c r="HT129" s="486"/>
      <c r="HU129" s="608"/>
      <c r="HV129" s="608"/>
      <c r="HW129" s="608"/>
      <c r="HX129" s="486"/>
      <c r="HY129" s="601"/>
      <c r="HZ129" s="486"/>
      <c r="IA129" s="602"/>
      <c r="IB129" s="486"/>
      <c r="IC129" s="608"/>
      <c r="ID129" s="608"/>
      <c r="IE129" s="608"/>
      <c r="IF129" s="486"/>
      <c r="IG129" s="601"/>
      <c r="IH129" s="486"/>
      <c r="II129" s="602"/>
      <c r="IJ129" s="486"/>
      <c r="IK129" s="608"/>
      <c r="IL129" s="608"/>
      <c r="IM129" s="608"/>
      <c r="IN129" s="486"/>
      <c r="IO129" s="601"/>
      <c r="IP129" s="486"/>
    </row>
    <row r="130" spans="1:250" s="244" customFormat="1" ht="14.1" customHeight="1">
      <c r="A130" s="569" t="s">
        <v>267</v>
      </c>
      <c r="B130" s="626">
        <v>131.89500000000001</v>
      </c>
      <c r="C130" s="626">
        <v>94.531999999999996</v>
      </c>
      <c r="D130" s="627">
        <v>167.923</v>
      </c>
      <c r="E130" s="626">
        <v>307.52300000000002</v>
      </c>
      <c r="F130" s="626">
        <v>404.702</v>
      </c>
      <c r="G130" s="552">
        <v>377.13400000000001</v>
      </c>
      <c r="H130" s="574">
        <v>628.62599999999998</v>
      </c>
      <c r="I130" s="614">
        <f>SUM(B130:H130)</f>
        <v>2112.335</v>
      </c>
      <c r="J130" s="486"/>
      <c r="K130" s="602"/>
      <c r="L130" s="486"/>
      <c r="M130" s="608"/>
      <c r="N130" s="608"/>
      <c r="O130" s="608"/>
      <c r="P130" s="486"/>
      <c r="Q130" s="601"/>
      <c r="R130" s="486"/>
      <c r="S130" s="602"/>
      <c r="T130" s="486"/>
      <c r="U130" s="608"/>
      <c r="V130" s="608"/>
      <c r="W130" s="608"/>
      <c r="X130" s="486"/>
      <c r="Y130" s="601"/>
      <c r="Z130" s="486"/>
      <c r="AA130" s="602"/>
      <c r="AB130" s="486"/>
      <c r="AC130" s="608"/>
      <c r="AD130" s="608"/>
      <c r="AE130" s="608"/>
      <c r="AF130" s="486"/>
      <c r="AG130" s="601"/>
      <c r="AH130" s="486"/>
      <c r="AI130" s="602"/>
      <c r="AJ130" s="486"/>
      <c r="AK130" s="608"/>
      <c r="AL130" s="608"/>
      <c r="AM130" s="608"/>
      <c r="AN130" s="486"/>
      <c r="AO130" s="601"/>
      <c r="AP130" s="486"/>
      <c r="AQ130" s="602"/>
      <c r="AR130" s="486"/>
      <c r="AS130" s="608"/>
      <c r="AT130" s="608"/>
      <c r="AU130" s="608"/>
      <c r="AV130" s="486"/>
      <c r="AW130" s="601"/>
      <c r="AX130" s="486"/>
      <c r="AY130" s="602"/>
      <c r="AZ130" s="486"/>
      <c r="BA130" s="608"/>
      <c r="BB130" s="608"/>
      <c r="BC130" s="608"/>
      <c r="BD130" s="486"/>
      <c r="BE130" s="601"/>
      <c r="BF130" s="486"/>
      <c r="BG130" s="602"/>
      <c r="BH130" s="486"/>
      <c r="BI130" s="608"/>
      <c r="BJ130" s="608"/>
      <c r="BK130" s="608"/>
      <c r="BL130" s="486"/>
      <c r="BM130" s="601"/>
      <c r="BN130" s="486"/>
      <c r="BO130" s="602"/>
      <c r="BP130" s="486"/>
      <c r="BQ130" s="608"/>
      <c r="BR130" s="608"/>
      <c r="BS130" s="608"/>
      <c r="BT130" s="486"/>
      <c r="BU130" s="601"/>
      <c r="BV130" s="486"/>
      <c r="BW130" s="602"/>
      <c r="BX130" s="486"/>
      <c r="BY130" s="608"/>
      <c r="BZ130" s="608"/>
      <c r="CA130" s="608"/>
      <c r="CB130" s="486"/>
      <c r="CC130" s="601"/>
      <c r="CD130" s="486"/>
      <c r="CE130" s="602"/>
      <c r="CF130" s="486"/>
      <c r="CG130" s="608"/>
      <c r="CH130" s="608"/>
      <c r="CI130" s="608"/>
      <c r="CJ130" s="486"/>
      <c r="CK130" s="601"/>
      <c r="CL130" s="486"/>
      <c r="CM130" s="602"/>
      <c r="CN130" s="486"/>
      <c r="CO130" s="608"/>
      <c r="CP130" s="608"/>
      <c r="CQ130" s="608"/>
      <c r="CR130" s="486"/>
      <c r="CS130" s="601"/>
      <c r="CT130" s="486"/>
      <c r="CU130" s="602"/>
      <c r="CV130" s="486"/>
      <c r="CW130" s="608"/>
      <c r="CX130" s="608"/>
      <c r="CY130" s="608"/>
      <c r="CZ130" s="486"/>
      <c r="DA130" s="601"/>
      <c r="DB130" s="486"/>
      <c r="DC130" s="602"/>
      <c r="DD130" s="486"/>
      <c r="DE130" s="608"/>
      <c r="DF130" s="608"/>
      <c r="DG130" s="608"/>
      <c r="DH130" s="486"/>
      <c r="DI130" s="601"/>
      <c r="DJ130" s="486"/>
      <c r="DK130" s="602"/>
      <c r="DL130" s="486"/>
      <c r="DM130" s="608"/>
      <c r="DN130" s="608"/>
      <c r="DO130" s="608"/>
      <c r="DP130" s="486"/>
      <c r="DQ130" s="601"/>
      <c r="DR130" s="486"/>
      <c r="DS130" s="602"/>
      <c r="DT130" s="486"/>
      <c r="DU130" s="608"/>
      <c r="DV130" s="608"/>
      <c r="DW130" s="608"/>
      <c r="DX130" s="486"/>
      <c r="DY130" s="601"/>
      <c r="DZ130" s="486"/>
      <c r="EA130" s="602"/>
      <c r="EB130" s="486"/>
      <c r="EC130" s="608"/>
      <c r="ED130" s="608"/>
      <c r="EE130" s="608"/>
      <c r="EF130" s="486"/>
      <c r="EG130" s="601"/>
      <c r="EH130" s="486"/>
      <c r="EI130" s="602"/>
      <c r="EJ130" s="486"/>
      <c r="EK130" s="608"/>
      <c r="EL130" s="608"/>
      <c r="EM130" s="608"/>
      <c r="EN130" s="486"/>
      <c r="EO130" s="601"/>
      <c r="EP130" s="486"/>
      <c r="EQ130" s="602"/>
      <c r="ER130" s="486"/>
      <c r="ES130" s="608"/>
      <c r="ET130" s="608"/>
      <c r="EU130" s="608"/>
      <c r="EV130" s="486"/>
      <c r="EW130" s="601"/>
      <c r="EX130" s="486"/>
      <c r="EY130" s="602"/>
      <c r="EZ130" s="486"/>
      <c r="FA130" s="608"/>
      <c r="FB130" s="608"/>
      <c r="FC130" s="608"/>
      <c r="FD130" s="486"/>
      <c r="FE130" s="601"/>
      <c r="FF130" s="486"/>
      <c r="FG130" s="602"/>
      <c r="FH130" s="486"/>
      <c r="FI130" s="608"/>
      <c r="FJ130" s="608"/>
      <c r="FK130" s="608"/>
      <c r="FL130" s="486"/>
      <c r="FM130" s="601"/>
      <c r="FN130" s="486"/>
      <c r="FO130" s="602"/>
      <c r="FP130" s="486"/>
      <c r="FQ130" s="608"/>
      <c r="FR130" s="608"/>
      <c r="FS130" s="608"/>
      <c r="FT130" s="486"/>
      <c r="FU130" s="601"/>
      <c r="FV130" s="486"/>
      <c r="FW130" s="602"/>
      <c r="FX130" s="486"/>
      <c r="FY130" s="608"/>
      <c r="FZ130" s="608"/>
      <c r="GA130" s="608"/>
      <c r="GB130" s="486"/>
      <c r="GC130" s="601"/>
      <c r="GD130" s="486"/>
      <c r="GE130" s="602"/>
      <c r="GF130" s="486"/>
      <c r="GG130" s="608"/>
      <c r="GH130" s="608"/>
      <c r="GI130" s="608"/>
      <c r="GJ130" s="486"/>
      <c r="GK130" s="601"/>
      <c r="GL130" s="486"/>
      <c r="GM130" s="602"/>
      <c r="GN130" s="486"/>
      <c r="GO130" s="608"/>
      <c r="GP130" s="608"/>
      <c r="GQ130" s="608"/>
      <c r="GR130" s="486"/>
      <c r="GS130" s="601"/>
      <c r="GT130" s="486"/>
      <c r="GU130" s="602"/>
      <c r="GV130" s="486"/>
      <c r="GW130" s="608"/>
      <c r="GX130" s="608"/>
      <c r="GY130" s="608"/>
      <c r="GZ130" s="486"/>
      <c r="HA130" s="601"/>
      <c r="HB130" s="486"/>
      <c r="HC130" s="602"/>
      <c r="HD130" s="486"/>
      <c r="HE130" s="608"/>
      <c r="HF130" s="608"/>
      <c r="HG130" s="608"/>
      <c r="HH130" s="486"/>
      <c r="HI130" s="601"/>
      <c r="HJ130" s="486"/>
      <c r="HK130" s="602"/>
      <c r="HL130" s="486"/>
      <c r="HM130" s="608"/>
      <c r="HN130" s="608"/>
      <c r="HO130" s="608"/>
      <c r="HP130" s="486"/>
      <c r="HQ130" s="601"/>
      <c r="HR130" s="486"/>
      <c r="HS130" s="602"/>
      <c r="HT130" s="486"/>
      <c r="HU130" s="608"/>
      <c r="HV130" s="608"/>
      <c r="HW130" s="608"/>
      <c r="HX130" s="486"/>
      <c r="HY130" s="601"/>
      <c r="HZ130" s="486"/>
      <c r="IA130" s="602"/>
      <c r="IB130" s="486"/>
      <c r="IC130" s="608"/>
      <c r="ID130" s="608"/>
      <c r="IE130" s="608"/>
      <c r="IF130" s="486"/>
      <c r="IG130" s="601"/>
      <c r="IH130" s="486"/>
      <c r="II130" s="602"/>
      <c r="IJ130" s="486"/>
      <c r="IK130" s="608"/>
      <c r="IL130" s="608"/>
      <c r="IM130" s="608"/>
      <c r="IN130" s="486"/>
      <c r="IO130" s="601"/>
      <c r="IP130" s="486"/>
    </row>
    <row r="131" spans="1:250" s="244" customFormat="1">
      <c r="A131" s="631"/>
      <c r="B131" s="494"/>
      <c r="C131" s="494"/>
      <c r="D131" s="632"/>
      <c r="E131" s="633" t="s">
        <v>90</v>
      </c>
      <c r="F131" s="634"/>
      <c r="G131" s="494"/>
      <c r="H131" s="494"/>
      <c r="I131" s="280"/>
      <c r="J131" s="486"/>
      <c r="K131" s="486"/>
      <c r="L131" s="486"/>
      <c r="M131" s="583"/>
      <c r="N131" s="582"/>
      <c r="O131" s="582"/>
      <c r="P131" s="582"/>
      <c r="Q131" s="486"/>
      <c r="R131" s="486"/>
      <c r="S131" s="486"/>
      <c r="T131" s="486"/>
      <c r="U131" s="583"/>
      <c r="V131" s="582"/>
      <c r="W131" s="582"/>
      <c r="X131" s="582"/>
      <c r="Y131" s="486"/>
      <c r="Z131" s="486"/>
      <c r="AA131" s="486"/>
      <c r="AB131" s="486"/>
      <c r="AC131" s="583"/>
      <c r="AD131" s="582"/>
      <c r="AE131" s="582"/>
      <c r="AF131" s="582"/>
      <c r="AG131" s="486"/>
      <c r="AH131" s="486"/>
      <c r="AI131" s="486"/>
      <c r="AJ131" s="486"/>
      <c r="AK131" s="583"/>
      <c r="AL131" s="582"/>
      <c r="AM131" s="582"/>
      <c r="AN131" s="582"/>
      <c r="AO131" s="486"/>
      <c r="AP131" s="486"/>
      <c r="AQ131" s="486"/>
      <c r="AR131" s="486"/>
      <c r="AS131" s="583"/>
      <c r="AT131" s="582"/>
      <c r="AU131" s="582"/>
      <c r="AV131" s="582"/>
      <c r="AW131" s="486"/>
      <c r="AX131" s="486"/>
      <c r="AY131" s="486"/>
      <c r="AZ131" s="486"/>
      <c r="BA131" s="583"/>
      <c r="BB131" s="582"/>
      <c r="BC131" s="582"/>
      <c r="BD131" s="582"/>
      <c r="BE131" s="486"/>
      <c r="BF131" s="486"/>
      <c r="BG131" s="486"/>
      <c r="BH131" s="486"/>
      <c r="BI131" s="583"/>
      <c r="BJ131" s="582"/>
      <c r="BK131" s="582"/>
      <c r="BL131" s="582"/>
      <c r="BM131" s="486"/>
      <c r="BN131" s="486"/>
      <c r="BO131" s="486"/>
      <c r="BP131" s="486"/>
      <c r="BQ131" s="583"/>
      <c r="BR131" s="582"/>
      <c r="BS131" s="582"/>
      <c r="BT131" s="582"/>
      <c r="BU131" s="486"/>
      <c r="BV131" s="486"/>
      <c r="BW131" s="486"/>
      <c r="BX131" s="486"/>
      <c r="BY131" s="583"/>
      <c r="BZ131" s="582"/>
      <c r="CA131" s="582"/>
      <c r="CB131" s="582"/>
      <c r="CC131" s="486"/>
      <c r="CD131" s="486"/>
      <c r="CE131" s="486"/>
      <c r="CF131" s="486"/>
      <c r="CG131" s="583"/>
      <c r="CH131" s="582"/>
      <c r="CI131" s="582"/>
      <c r="CJ131" s="582"/>
      <c r="CK131" s="486"/>
      <c r="CL131" s="486"/>
      <c r="CM131" s="486"/>
      <c r="CN131" s="486"/>
      <c r="CO131" s="583"/>
      <c r="CP131" s="582"/>
      <c r="CQ131" s="582"/>
      <c r="CR131" s="582"/>
      <c r="CS131" s="486"/>
      <c r="CT131" s="486"/>
      <c r="CU131" s="486"/>
      <c r="CV131" s="486"/>
      <c r="CW131" s="583"/>
      <c r="CX131" s="582"/>
      <c r="CY131" s="582"/>
      <c r="CZ131" s="582"/>
      <c r="DA131" s="486"/>
      <c r="DB131" s="486"/>
      <c r="DC131" s="486"/>
      <c r="DD131" s="486"/>
      <c r="DE131" s="583"/>
      <c r="DF131" s="582"/>
      <c r="DG131" s="582"/>
      <c r="DH131" s="582"/>
      <c r="DI131" s="486"/>
      <c r="DJ131" s="486"/>
      <c r="DK131" s="486"/>
      <c r="DL131" s="486"/>
      <c r="DM131" s="583"/>
      <c r="DN131" s="582"/>
      <c r="DO131" s="582"/>
      <c r="DP131" s="582"/>
      <c r="DQ131" s="486"/>
      <c r="DR131" s="486"/>
      <c r="DS131" s="486"/>
      <c r="DT131" s="486"/>
      <c r="DU131" s="583"/>
      <c r="DV131" s="582"/>
      <c r="DW131" s="582"/>
      <c r="DX131" s="582"/>
      <c r="DY131" s="486"/>
      <c r="DZ131" s="486"/>
      <c r="EA131" s="486"/>
      <c r="EB131" s="486"/>
      <c r="EC131" s="583"/>
      <c r="ED131" s="582"/>
      <c r="EE131" s="582"/>
      <c r="EF131" s="582"/>
      <c r="EG131" s="486"/>
      <c r="EH131" s="486"/>
      <c r="EI131" s="486"/>
      <c r="EJ131" s="486"/>
      <c r="EK131" s="583"/>
      <c r="EL131" s="582"/>
      <c r="EM131" s="582"/>
      <c r="EN131" s="582"/>
      <c r="EO131" s="486"/>
      <c r="EP131" s="486"/>
      <c r="EQ131" s="486"/>
      <c r="ER131" s="486"/>
      <c r="ES131" s="583"/>
      <c r="ET131" s="582"/>
      <c r="EU131" s="582"/>
      <c r="EV131" s="582"/>
      <c r="EW131" s="486"/>
      <c r="EX131" s="486"/>
      <c r="EY131" s="486"/>
      <c r="EZ131" s="486"/>
      <c r="FA131" s="583"/>
      <c r="FB131" s="582"/>
      <c r="FC131" s="582"/>
      <c r="FD131" s="582"/>
      <c r="FE131" s="486"/>
      <c r="FF131" s="486"/>
      <c r="FG131" s="486"/>
      <c r="FH131" s="486"/>
      <c r="FI131" s="583"/>
      <c r="FJ131" s="582"/>
      <c r="FK131" s="582"/>
      <c r="FL131" s="582"/>
      <c r="FM131" s="486"/>
      <c r="FN131" s="486"/>
      <c r="FO131" s="486"/>
      <c r="FP131" s="486"/>
      <c r="FQ131" s="583"/>
      <c r="FR131" s="582"/>
      <c r="FS131" s="582"/>
      <c r="FT131" s="582"/>
      <c r="FU131" s="486"/>
      <c r="FV131" s="486"/>
      <c r="FW131" s="486"/>
      <c r="FX131" s="486"/>
      <c r="FY131" s="583"/>
      <c r="FZ131" s="582"/>
      <c r="GA131" s="582"/>
      <c r="GB131" s="582"/>
      <c r="GC131" s="486"/>
      <c r="GD131" s="486"/>
      <c r="GE131" s="486"/>
      <c r="GF131" s="486"/>
      <c r="GG131" s="583"/>
      <c r="GH131" s="582"/>
      <c r="GI131" s="582"/>
      <c r="GJ131" s="582"/>
      <c r="GK131" s="486"/>
      <c r="GL131" s="486"/>
      <c r="GM131" s="486"/>
      <c r="GN131" s="486"/>
      <c r="GO131" s="583"/>
      <c r="GP131" s="582"/>
      <c r="GQ131" s="582"/>
      <c r="GR131" s="582"/>
      <c r="GS131" s="486"/>
      <c r="GT131" s="486"/>
      <c r="GU131" s="486"/>
      <c r="GV131" s="486"/>
      <c r="GW131" s="583"/>
      <c r="GX131" s="582"/>
      <c r="GY131" s="582"/>
      <c r="GZ131" s="582"/>
      <c r="HA131" s="486"/>
      <c r="HB131" s="486"/>
      <c r="HC131" s="486"/>
      <c r="HD131" s="486"/>
      <c r="HE131" s="583"/>
      <c r="HF131" s="582"/>
      <c r="HG131" s="582"/>
      <c r="HH131" s="582"/>
      <c r="HI131" s="486"/>
      <c r="HJ131" s="486"/>
      <c r="HK131" s="486"/>
      <c r="HL131" s="486"/>
      <c r="HM131" s="583"/>
      <c r="HN131" s="582"/>
      <c r="HO131" s="582"/>
      <c r="HP131" s="582"/>
      <c r="HQ131" s="486"/>
      <c r="HR131" s="486"/>
      <c r="HS131" s="486"/>
      <c r="HT131" s="486"/>
      <c r="HU131" s="583"/>
      <c r="HV131" s="582"/>
      <c r="HW131" s="582"/>
      <c r="HX131" s="582"/>
      <c r="HY131" s="486"/>
      <c r="HZ131" s="486"/>
      <c r="IA131" s="486"/>
      <c r="IB131" s="486"/>
      <c r="IC131" s="583"/>
      <c r="ID131" s="582"/>
      <c r="IE131" s="582"/>
      <c r="IF131" s="582"/>
      <c r="IG131" s="486"/>
      <c r="IH131" s="486"/>
      <c r="II131" s="486"/>
      <c r="IJ131" s="486"/>
      <c r="IK131" s="583"/>
      <c r="IL131" s="582"/>
      <c r="IM131" s="582"/>
      <c r="IN131" s="582"/>
      <c r="IO131" s="486"/>
      <c r="IP131" s="486"/>
    </row>
    <row r="132" spans="1:250" s="244" customFormat="1">
      <c r="A132" s="297" t="s">
        <v>71</v>
      </c>
      <c r="B132" s="546">
        <v>72.742999999999995</v>
      </c>
      <c r="C132" s="619">
        <v>54.713000000000001</v>
      </c>
      <c r="D132" s="544">
        <v>80.540000000000006</v>
      </c>
      <c r="E132" s="597">
        <v>357.31700000000001</v>
      </c>
      <c r="F132" s="598"/>
      <c r="G132" s="635">
        <v>787.08100000000002</v>
      </c>
      <c r="H132" s="598"/>
      <c r="I132" s="621">
        <v>1352.394</v>
      </c>
      <c r="J132" s="486"/>
      <c r="K132" s="602"/>
      <c r="L132" s="636"/>
      <c r="M132" s="586"/>
      <c r="N132" s="586"/>
      <c r="O132" s="586"/>
      <c r="P132" s="486"/>
      <c r="Q132" s="601"/>
      <c r="R132" s="486"/>
      <c r="S132" s="602"/>
      <c r="T132" s="636"/>
      <c r="U132" s="586"/>
      <c r="V132" s="586"/>
      <c r="W132" s="586"/>
      <c r="X132" s="486"/>
      <c r="Y132" s="601"/>
      <c r="Z132" s="486"/>
      <c r="AA132" s="602"/>
      <c r="AB132" s="636"/>
      <c r="AC132" s="586"/>
      <c r="AD132" s="586"/>
      <c r="AE132" s="586"/>
      <c r="AF132" s="486"/>
      <c r="AG132" s="601"/>
      <c r="AH132" s="486"/>
      <c r="AI132" s="602"/>
      <c r="AJ132" s="636"/>
      <c r="AK132" s="586"/>
      <c r="AL132" s="586"/>
      <c r="AM132" s="586"/>
      <c r="AN132" s="486"/>
      <c r="AO132" s="601"/>
      <c r="AP132" s="486"/>
      <c r="AQ132" s="602"/>
      <c r="AR132" s="636"/>
      <c r="AS132" s="586"/>
      <c r="AT132" s="586"/>
      <c r="AU132" s="586"/>
      <c r="AV132" s="486"/>
      <c r="AW132" s="601"/>
      <c r="AX132" s="486"/>
      <c r="AY132" s="602"/>
      <c r="AZ132" s="636"/>
      <c r="BA132" s="586"/>
      <c r="BB132" s="586"/>
      <c r="BC132" s="586"/>
      <c r="BD132" s="486"/>
      <c r="BE132" s="601"/>
      <c r="BF132" s="486"/>
      <c r="BG132" s="602"/>
      <c r="BH132" s="636"/>
      <c r="BI132" s="586"/>
      <c r="BJ132" s="586"/>
      <c r="BK132" s="586"/>
      <c r="BL132" s="486"/>
      <c r="BM132" s="601"/>
      <c r="BN132" s="486"/>
      <c r="BO132" s="602"/>
      <c r="BP132" s="636"/>
      <c r="BQ132" s="586"/>
      <c r="BR132" s="586"/>
      <c r="BS132" s="586"/>
      <c r="BT132" s="486"/>
      <c r="BU132" s="601"/>
      <c r="BV132" s="486"/>
      <c r="BW132" s="602"/>
      <c r="BX132" s="636"/>
      <c r="BY132" s="586"/>
      <c r="BZ132" s="586"/>
      <c r="CA132" s="586"/>
      <c r="CB132" s="486"/>
      <c r="CC132" s="601"/>
      <c r="CD132" s="486"/>
      <c r="CE132" s="602"/>
      <c r="CF132" s="636"/>
      <c r="CG132" s="586"/>
      <c r="CH132" s="586"/>
      <c r="CI132" s="586"/>
      <c r="CJ132" s="486"/>
      <c r="CK132" s="601"/>
      <c r="CL132" s="486"/>
      <c r="CM132" s="602"/>
      <c r="CN132" s="636"/>
      <c r="CO132" s="586"/>
      <c r="CP132" s="586"/>
      <c r="CQ132" s="586"/>
      <c r="CR132" s="486"/>
      <c r="CS132" s="601"/>
      <c r="CT132" s="486"/>
      <c r="CU132" s="602"/>
      <c r="CV132" s="636"/>
      <c r="CW132" s="586"/>
      <c r="CX132" s="586"/>
      <c r="CY132" s="586"/>
      <c r="CZ132" s="486"/>
      <c r="DA132" s="601"/>
      <c r="DB132" s="486"/>
      <c r="DC132" s="602"/>
      <c r="DD132" s="636"/>
      <c r="DE132" s="586"/>
      <c r="DF132" s="586"/>
      <c r="DG132" s="586"/>
      <c r="DH132" s="486"/>
      <c r="DI132" s="601"/>
      <c r="DJ132" s="486"/>
      <c r="DK132" s="602"/>
      <c r="DL132" s="636"/>
      <c r="DM132" s="586"/>
      <c r="DN132" s="586"/>
      <c r="DO132" s="586"/>
      <c r="DP132" s="486"/>
      <c r="DQ132" s="601"/>
      <c r="DR132" s="486"/>
      <c r="DS132" s="602"/>
      <c r="DT132" s="636"/>
      <c r="DU132" s="586"/>
      <c r="DV132" s="586"/>
      <c r="DW132" s="586"/>
      <c r="DX132" s="486"/>
      <c r="DY132" s="601"/>
      <c r="DZ132" s="486"/>
      <c r="EA132" s="602"/>
      <c r="EB132" s="636"/>
      <c r="EC132" s="586"/>
      <c r="ED132" s="586"/>
      <c r="EE132" s="586"/>
      <c r="EF132" s="486"/>
      <c r="EG132" s="601"/>
      <c r="EH132" s="486"/>
      <c r="EI132" s="602"/>
      <c r="EJ132" s="636"/>
      <c r="EK132" s="586"/>
      <c r="EL132" s="586"/>
      <c r="EM132" s="586"/>
      <c r="EN132" s="486"/>
      <c r="EO132" s="601"/>
      <c r="EP132" s="486"/>
      <c r="EQ132" s="602"/>
      <c r="ER132" s="636"/>
      <c r="ES132" s="586"/>
      <c r="ET132" s="586"/>
      <c r="EU132" s="586"/>
      <c r="EV132" s="486"/>
      <c r="EW132" s="601"/>
      <c r="EX132" s="486"/>
      <c r="EY132" s="602"/>
      <c r="EZ132" s="636"/>
      <c r="FA132" s="586"/>
      <c r="FB132" s="586"/>
      <c r="FC132" s="586"/>
      <c r="FD132" s="486"/>
      <c r="FE132" s="601"/>
      <c r="FF132" s="486"/>
      <c r="FG132" s="602"/>
      <c r="FH132" s="636"/>
      <c r="FI132" s="586"/>
      <c r="FJ132" s="586"/>
      <c r="FK132" s="586"/>
      <c r="FL132" s="486"/>
      <c r="FM132" s="601"/>
      <c r="FN132" s="486"/>
      <c r="FO132" s="602"/>
      <c r="FP132" s="636"/>
      <c r="FQ132" s="586"/>
      <c r="FR132" s="586"/>
      <c r="FS132" s="586"/>
      <c r="FT132" s="486"/>
      <c r="FU132" s="601"/>
      <c r="FV132" s="486"/>
      <c r="FW132" s="602"/>
      <c r="FX132" s="636"/>
      <c r="FY132" s="586"/>
      <c r="FZ132" s="586"/>
      <c r="GA132" s="586"/>
      <c r="GB132" s="486"/>
      <c r="GC132" s="601"/>
      <c r="GD132" s="486"/>
      <c r="GE132" s="602"/>
      <c r="GF132" s="636"/>
      <c r="GG132" s="586"/>
      <c r="GH132" s="586"/>
      <c r="GI132" s="586"/>
      <c r="GJ132" s="486"/>
      <c r="GK132" s="601"/>
      <c r="GL132" s="486"/>
      <c r="GM132" s="602"/>
      <c r="GN132" s="636"/>
      <c r="GO132" s="586"/>
      <c r="GP132" s="586"/>
      <c r="GQ132" s="586"/>
      <c r="GR132" s="486"/>
      <c r="GS132" s="601"/>
      <c r="GT132" s="486"/>
      <c r="GU132" s="602"/>
      <c r="GV132" s="636"/>
      <c r="GW132" s="586"/>
      <c r="GX132" s="586"/>
      <c r="GY132" s="586"/>
      <c r="GZ132" s="486"/>
      <c r="HA132" s="601"/>
      <c r="HB132" s="486"/>
      <c r="HC132" s="602"/>
      <c r="HD132" s="636"/>
      <c r="HE132" s="586"/>
      <c r="HF132" s="586"/>
      <c r="HG132" s="586"/>
      <c r="HH132" s="486"/>
      <c r="HI132" s="601"/>
      <c r="HJ132" s="486"/>
      <c r="HK132" s="602"/>
      <c r="HL132" s="636"/>
      <c r="HM132" s="586"/>
      <c r="HN132" s="586"/>
      <c r="HO132" s="586"/>
      <c r="HP132" s="486"/>
      <c r="HQ132" s="601"/>
      <c r="HR132" s="486"/>
      <c r="HS132" s="602"/>
      <c r="HT132" s="636"/>
      <c r="HU132" s="586"/>
      <c r="HV132" s="586"/>
      <c r="HW132" s="586"/>
      <c r="HX132" s="486"/>
      <c r="HY132" s="601"/>
      <c r="HZ132" s="486"/>
      <c r="IA132" s="602"/>
      <c r="IB132" s="636"/>
      <c r="IC132" s="586"/>
      <c r="ID132" s="586"/>
      <c r="IE132" s="586"/>
      <c r="IF132" s="486"/>
      <c r="IG132" s="601"/>
      <c r="IH132" s="486"/>
      <c r="II132" s="602"/>
      <c r="IJ132" s="636"/>
      <c r="IK132" s="586"/>
      <c r="IL132" s="586"/>
      <c r="IM132" s="586"/>
      <c r="IN132" s="486"/>
      <c r="IO132" s="601"/>
      <c r="IP132" s="486"/>
    </row>
    <row r="133" spans="1:250" s="244" customFormat="1">
      <c r="A133" s="540" t="s">
        <v>168</v>
      </c>
      <c r="B133" s="596">
        <v>72.972999999999999</v>
      </c>
      <c r="C133" s="568">
        <v>27.928999999999998</v>
      </c>
      <c r="D133" s="566">
        <v>81.441999999999993</v>
      </c>
      <c r="E133" s="637">
        <v>355.64800000000002</v>
      </c>
      <c r="F133" s="604"/>
      <c r="G133" s="623">
        <v>840.12300000000005</v>
      </c>
      <c r="H133" s="604"/>
      <c r="I133" s="622">
        <v>1378.115</v>
      </c>
      <c r="J133" s="486"/>
      <c r="K133" s="602"/>
      <c r="L133" s="636"/>
      <c r="M133" s="586"/>
      <c r="N133" s="586"/>
      <c r="O133" s="586"/>
      <c r="P133" s="486"/>
      <c r="Q133" s="601"/>
      <c r="R133" s="486"/>
      <c r="S133" s="602"/>
      <c r="T133" s="636"/>
      <c r="U133" s="586"/>
      <c r="V133" s="586"/>
      <c r="W133" s="586"/>
      <c r="X133" s="486"/>
      <c r="Y133" s="601"/>
      <c r="Z133" s="486"/>
      <c r="AA133" s="602"/>
      <c r="AB133" s="636"/>
      <c r="AC133" s="586"/>
      <c r="AD133" s="586"/>
      <c r="AE133" s="586"/>
      <c r="AF133" s="486"/>
      <c r="AG133" s="601"/>
      <c r="AH133" s="486"/>
      <c r="AI133" s="602"/>
      <c r="AJ133" s="636"/>
      <c r="AK133" s="586"/>
      <c r="AL133" s="586"/>
      <c r="AM133" s="586"/>
      <c r="AN133" s="486"/>
      <c r="AO133" s="601"/>
      <c r="AP133" s="486"/>
      <c r="AQ133" s="602"/>
      <c r="AR133" s="636"/>
      <c r="AS133" s="586"/>
      <c r="AT133" s="586"/>
      <c r="AU133" s="586"/>
      <c r="AV133" s="486"/>
      <c r="AW133" s="601"/>
      <c r="AX133" s="486"/>
      <c r="AY133" s="602"/>
      <c r="AZ133" s="636"/>
      <c r="BA133" s="586"/>
      <c r="BB133" s="586"/>
      <c r="BC133" s="586"/>
      <c r="BD133" s="486"/>
      <c r="BE133" s="601"/>
      <c r="BF133" s="486"/>
      <c r="BG133" s="602"/>
      <c r="BH133" s="636"/>
      <c r="BI133" s="586"/>
      <c r="BJ133" s="586"/>
      <c r="BK133" s="586"/>
      <c r="BL133" s="486"/>
      <c r="BM133" s="601"/>
      <c r="BN133" s="486"/>
      <c r="BO133" s="602"/>
      <c r="BP133" s="636"/>
      <c r="BQ133" s="586"/>
      <c r="BR133" s="586"/>
      <c r="BS133" s="586"/>
      <c r="BT133" s="486"/>
      <c r="BU133" s="601"/>
      <c r="BV133" s="486"/>
      <c r="BW133" s="602"/>
      <c r="BX133" s="636"/>
      <c r="BY133" s="586"/>
      <c r="BZ133" s="586"/>
      <c r="CA133" s="586"/>
      <c r="CB133" s="486"/>
      <c r="CC133" s="601"/>
      <c r="CD133" s="486"/>
      <c r="CE133" s="602"/>
      <c r="CF133" s="636"/>
      <c r="CG133" s="586"/>
      <c r="CH133" s="586"/>
      <c r="CI133" s="586"/>
      <c r="CJ133" s="486"/>
      <c r="CK133" s="601"/>
      <c r="CL133" s="486"/>
      <c r="CM133" s="602"/>
      <c r="CN133" s="636"/>
      <c r="CO133" s="586"/>
      <c r="CP133" s="586"/>
      <c r="CQ133" s="586"/>
      <c r="CR133" s="486"/>
      <c r="CS133" s="601"/>
      <c r="CT133" s="486"/>
      <c r="CU133" s="602"/>
      <c r="CV133" s="636"/>
      <c r="CW133" s="586"/>
      <c r="CX133" s="586"/>
      <c r="CY133" s="586"/>
      <c r="CZ133" s="486"/>
      <c r="DA133" s="601"/>
      <c r="DB133" s="486"/>
      <c r="DC133" s="602"/>
      <c r="DD133" s="636"/>
      <c r="DE133" s="586"/>
      <c r="DF133" s="586"/>
      <c r="DG133" s="586"/>
      <c r="DH133" s="486"/>
      <c r="DI133" s="601"/>
      <c r="DJ133" s="486"/>
      <c r="DK133" s="602"/>
      <c r="DL133" s="636"/>
      <c r="DM133" s="586"/>
      <c r="DN133" s="586"/>
      <c r="DO133" s="586"/>
      <c r="DP133" s="486"/>
      <c r="DQ133" s="601"/>
      <c r="DR133" s="486"/>
      <c r="DS133" s="602"/>
      <c r="DT133" s="636"/>
      <c r="DU133" s="586"/>
      <c r="DV133" s="586"/>
      <c r="DW133" s="586"/>
      <c r="DX133" s="486"/>
      <c r="DY133" s="601"/>
      <c r="DZ133" s="486"/>
      <c r="EA133" s="602"/>
      <c r="EB133" s="636"/>
      <c r="EC133" s="586"/>
      <c r="ED133" s="586"/>
      <c r="EE133" s="586"/>
      <c r="EF133" s="486"/>
      <c r="EG133" s="601"/>
      <c r="EH133" s="486"/>
      <c r="EI133" s="602"/>
      <c r="EJ133" s="636"/>
      <c r="EK133" s="586"/>
      <c r="EL133" s="586"/>
      <c r="EM133" s="586"/>
      <c r="EN133" s="486"/>
      <c r="EO133" s="601"/>
      <c r="EP133" s="486"/>
      <c r="EQ133" s="602"/>
      <c r="ER133" s="636"/>
      <c r="ES133" s="586"/>
      <c r="ET133" s="586"/>
      <c r="EU133" s="586"/>
      <c r="EV133" s="486"/>
      <c r="EW133" s="601"/>
      <c r="EX133" s="486"/>
      <c r="EY133" s="602"/>
      <c r="EZ133" s="636"/>
      <c r="FA133" s="586"/>
      <c r="FB133" s="586"/>
      <c r="FC133" s="586"/>
      <c r="FD133" s="486"/>
      <c r="FE133" s="601"/>
      <c r="FF133" s="486"/>
      <c r="FG133" s="602"/>
      <c r="FH133" s="636"/>
      <c r="FI133" s="586"/>
      <c r="FJ133" s="586"/>
      <c r="FK133" s="586"/>
      <c r="FL133" s="486"/>
      <c r="FM133" s="601"/>
      <c r="FN133" s="486"/>
      <c r="FO133" s="602"/>
      <c r="FP133" s="636"/>
      <c r="FQ133" s="586"/>
      <c r="FR133" s="586"/>
      <c r="FS133" s="586"/>
      <c r="FT133" s="486"/>
      <c r="FU133" s="601"/>
      <c r="FV133" s="486"/>
      <c r="FW133" s="602"/>
      <c r="FX133" s="636"/>
      <c r="FY133" s="586"/>
      <c r="FZ133" s="586"/>
      <c r="GA133" s="586"/>
      <c r="GB133" s="486"/>
      <c r="GC133" s="601"/>
      <c r="GD133" s="486"/>
      <c r="GE133" s="602"/>
      <c r="GF133" s="636"/>
      <c r="GG133" s="586"/>
      <c r="GH133" s="586"/>
      <c r="GI133" s="586"/>
      <c r="GJ133" s="486"/>
      <c r="GK133" s="601"/>
      <c r="GL133" s="486"/>
      <c r="GM133" s="602"/>
      <c r="GN133" s="636"/>
      <c r="GO133" s="586"/>
      <c r="GP133" s="586"/>
      <c r="GQ133" s="586"/>
      <c r="GR133" s="486"/>
      <c r="GS133" s="601"/>
      <c r="GT133" s="486"/>
      <c r="GU133" s="602"/>
      <c r="GV133" s="636"/>
      <c r="GW133" s="586"/>
      <c r="GX133" s="586"/>
      <c r="GY133" s="586"/>
      <c r="GZ133" s="486"/>
      <c r="HA133" s="601"/>
      <c r="HB133" s="486"/>
      <c r="HC133" s="602"/>
      <c r="HD133" s="636"/>
      <c r="HE133" s="586"/>
      <c r="HF133" s="586"/>
      <c r="HG133" s="586"/>
      <c r="HH133" s="486"/>
      <c r="HI133" s="601"/>
      <c r="HJ133" s="486"/>
      <c r="HK133" s="602"/>
      <c r="HL133" s="636"/>
      <c r="HM133" s="586"/>
      <c r="HN133" s="586"/>
      <c r="HO133" s="586"/>
      <c r="HP133" s="486"/>
      <c r="HQ133" s="601"/>
      <c r="HR133" s="486"/>
      <c r="HS133" s="602"/>
      <c r="HT133" s="636"/>
      <c r="HU133" s="586"/>
      <c r="HV133" s="586"/>
      <c r="HW133" s="586"/>
      <c r="HX133" s="486"/>
      <c r="HY133" s="601"/>
      <c r="HZ133" s="486"/>
      <c r="IA133" s="602"/>
      <c r="IB133" s="636"/>
      <c r="IC133" s="586"/>
      <c r="ID133" s="586"/>
      <c r="IE133" s="586"/>
      <c r="IF133" s="486"/>
      <c r="IG133" s="601"/>
      <c r="IH133" s="486"/>
      <c r="II133" s="602"/>
      <c r="IJ133" s="636"/>
      <c r="IK133" s="586"/>
      <c r="IL133" s="586"/>
      <c r="IM133" s="586"/>
      <c r="IN133" s="486"/>
      <c r="IO133" s="601"/>
      <c r="IP133" s="486"/>
    </row>
    <row r="134" spans="1:250" s="244" customFormat="1" ht="14.1" hidden="1" customHeight="1">
      <c r="A134" s="638" t="s">
        <v>72</v>
      </c>
      <c r="B134" s="596"/>
      <c r="C134" s="568">
        <v>1247852</v>
      </c>
      <c r="D134" s="566">
        <v>0</v>
      </c>
      <c r="E134" s="596">
        <v>211269</v>
      </c>
      <c r="F134" s="568">
        <v>1459121</v>
      </c>
      <c r="G134" s="623" t="e">
        <v>#DIV/0!</v>
      </c>
      <c r="H134" s="604"/>
      <c r="I134" s="622" t="e">
        <v>#DIV/0!</v>
      </c>
      <c r="J134" s="486"/>
      <c r="K134" s="602"/>
      <c r="L134" s="636"/>
      <c r="M134" s="586"/>
      <c r="N134" s="586"/>
      <c r="O134" s="586"/>
      <c r="P134" s="486"/>
      <c r="Q134" s="601"/>
      <c r="R134" s="486"/>
      <c r="S134" s="602"/>
      <c r="T134" s="636"/>
      <c r="U134" s="586"/>
      <c r="V134" s="586"/>
      <c r="W134" s="586"/>
      <c r="X134" s="486"/>
      <c r="Y134" s="601"/>
      <c r="Z134" s="486"/>
      <c r="AA134" s="602"/>
      <c r="AB134" s="636"/>
      <c r="AC134" s="586"/>
      <c r="AD134" s="586"/>
      <c r="AE134" s="586"/>
      <c r="AF134" s="486"/>
      <c r="AG134" s="601"/>
      <c r="AH134" s="486"/>
      <c r="AI134" s="602"/>
      <c r="AJ134" s="636"/>
      <c r="AK134" s="586"/>
      <c r="AL134" s="586"/>
      <c r="AM134" s="586"/>
      <c r="AN134" s="486"/>
      <c r="AO134" s="601"/>
      <c r="AP134" s="486"/>
      <c r="AQ134" s="602"/>
      <c r="AR134" s="636"/>
      <c r="AS134" s="586"/>
      <c r="AT134" s="586"/>
      <c r="AU134" s="586"/>
      <c r="AV134" s="486"/>
      <c r="AW134" s="601"/>
      <c r="AX134" s="486"/>
      <c r="AY134" s="602"/>
      <c r="AZ134" s="636"/>
      <c r="BA134" s="586"/>
      <c r="BB134" s="586"/>
      <c r="BC134" s="586"/>
      <c r="BD134" s="486"/>
      <c r="BE134" s="601"/>
      <c r="BF134" s="486"/>
      <c r="BG134" s="602"/>
      <c r="BH134" s="636"/>
      <c r="BI134" s="586"/>
      <c r="BJ134" s="586"/>
      <c r="BK134" s="586"/>
      <c r="BL134" s="486"/>
      <c r="BM134" s="601"/>
      <c r="BN134" s="486"/>
      <c r="BO134" s="602"/>
      <c r="BP134" s="636"/>
      <c r="BQ134" s="586"/>
      <c r="BR134" s="586"/>
      <c r="BS134" s="586"/>
      <c r="BT134" s="486"/>
      <c r="BU134" s="601"/>
      <c r="BV134" s="486"/>
      <c r="BW134" s="602"/>
      <c r="BX134" s="636"/>
      <c r="BY134" s="586"/>
      <c r="BZ134" s="586"/>
      <c r="CA134" s="586"/>
      <c r="CB134" s="486"/>
      <c r="CC134" s="601"/>
      <c r="CD134" s="486"/>
      <c r="CE134" s="602"/>
      <c r="CF134" s="636"/>
      <c r="CG134" s="586"/>
      <c r="CH134" s="586"/>
      <c r="CI134" s="586"/>
      <c r="CJ134" s="486"/>
      <c r="CK134" s="601"/>
      <c r="CL134" s="486"/>
      <c r="CM134" s="602"/>
      <c r="CN134" s="636"/>
      <c r="CO134" s="586"/>
      <c r="CP134" s="586"/>
      <c r="CQ134" s="586"/>
      <c r="CR134" s="486"/>
      <c r="CS134" s="601"/>
      <c r="CT134" s="486"/>
      <c r="CU134" s="602"/>
      <c r="CV134" s="636"/>
      <c r="CW134" s="586"/>
      <c r="CX134" s="586"/>
      <c r="CY134" s="586"/>
      <c r="CZ134" s="486"/>
      <c r="DA134" s="601"/>
      <c r="DB134" s="486"/>
      <c r="DC134" s="602"/>
      <c r="DD134" s="636"/>
      <c r="DE134" s="586"/>
      <c r="DF134" s="586"/>
      <c r="DG134" s="586"/>
      <c r="DH134" s="486"/>
      <c r="DI134" s="601"/>
      <c r="DJ134" s="486"/>
      <c r="DK134" s="602"/>
      <c r="DL134" s="636"/>
      <c r="DM134" s="586"/>
      <c r="DN134" s="586"/>
      <c r="DO134" s="586"/>
      <c r="DP134" s="486"/>
      <c r="DQ134" s="601"/>
      <c r="DR134" s="486"/>
      <c r="DS134" s="602"/>
      <c r="DT134" s="636"/>
      <c r="DU134" s="586"/>
      <c r="DV134" s="586"/>
      <c r="DW134" s="586"/>
      <c r="DX134" s="486"/>
      <c r="DY134" s="601"/>
      <c r="DZ134" s="486"/>
      <c r="EA134" s="602"/>
      <c r="EB134" s="636"/>
      <c r="EC134" s="586"/>
      <c r="ED134" s="586"/>
      <c r="EE134" s="586"/>
      <c r="EF134" s="486"/>
      <c r="EG134" s="601"/>
      <c r="EH134" s="486"/>
      <c r="EI134" s="602"/>
      <c r="EJ134" s="636"/>
      <c r="EK134" s="586"/>
      <c r="EL134" s="586"/>
      <c r="EM134" s="586"/>
      <c r="EN134" s="486"/>
      <c r="EO134" s="601"/>
      <c r="EP134" s="486"/>
      <c r="EQ134" s="602"/>
      <c r="ER134" s="636"/>
      <c r="ES134" s="586"/>
      <c r="ET134" s="586"/>
      <c r="EU134" s="586"/>
      <c r="EV134" s="486"/>
      <c r="EW134" s="601"/>
      <c r="EX134" s="486"/>
      <c r="EY134" s="602"/>
      <c r="EZ134" s="636"/>
      <c r="FA134" s="586"/>
      <c r="FB134" s="586"/>
      <c r="FC134" s="586"/>
      <c r="FD134" s="486"/>
      <c r="FE134" s="601"/>
      <c r="FF134" s="486"/>
      <c r="FG134" s="602"/>
      <c r="FH134" s="636"/>
      <c r="FI134" s="586"/>
      <c r="FJ134" s="586"/>
      <c r="FK134" s="586"/>
      <c r="FL134" s="486"/>
      <c r="FM134" s="601"/>
      <c r="FN134" s="486"/>
      <c r="FO134" s="602"/>
      <c r="FP134" s="636"/>
      <c r="FQ134" s="586"/>
      <c r="FR134" s="586"/>
      <c r="FS134" s="586"/>
      <c r="FT134" s="486"/>
      <c r="FU134" s="601"/>
      <c r="FV134" s="486"/>
      <c r="FW134" s="602"/>
      <c r="FX134" s="636"/>
      <c r="FY134" s="586"/>
      <c r="FZ134" s="586"/>
      <c r="GA134" s="586"/>
      <c r="GB134" s="486"/>
      <c r="GC134" s="601"/>
      <c r="GD134" s="486"/>
      <c r="GE134" s="602"/>
      <c r="GF134" s="636"/>
      <c r="GG134" s="586"/>
      <c r="GH134" s="586"/>
      <c r="GI134" s="586"/>
      <c r="GJ134" s="486"/>
      <c r="GK134" s="601"/>
      <c r="GL134" s="486"/>
      <c r="GM134" s="602"/>
      <c r="GN134" s="636"/>
      <c r="GO134" s="586"/>
      <c r="GP134" s="586"/>
      <c r="GQ134" s="586"/>
      <c r="GR134" s="486"/>
      <c r="GS134" s="601"/>
      <c r="GT134" s="486"/>
      <c r="GU134" s="602"/>
      <c r="GV134" s="636"/>
      <c r="GW134" s="586"/>
      <c r="GX134" s="586"/>
      <c r="GY134" s="586"/>
      <c r="GZ134" s="486"/>
      <c r="HA134" s="601"/>
      <c r="HB134" s="486"/>
      <c r="HC134" s="602"/>
      <c r="HD134" s="636"/>
      <c r="HE134" s="586"/>
      <c r="HF134" s="586"/>
      <c r="HG134" s="586"/>
      <c r="HH134" s="486"/>
      <c r="HI134" s="601"/>
      <c r="HJ134" s="486"/>
      <c r="HK134" s="602"/>
      <c r="HL134" s="636"/>
      <c r="HM134" s="586"/>
      <c r="HN134" s="586"/>
      <c r="HO134" s="586"/>
      <c r="HP134" s="486"/>
      <c r="HQ134" s="601"/>
      <c r="HR134" s="486"/>
      <c r="HS134" s="602"/>
      <c r="HT134" s="636"/>
      <c r="HU134" s="586"/>
      <c r="HV134" s="586"/>
      <c r="HW134" s="586"/>
      <c r="HX134" s="486"/>
      <c r="HY134" s="601"/>
      <c r="HZ134" s="486"/>
      <c r="IA134" s="602"/>
      <c r="IB134" s="636"/>
      <c r="IC134" s="586"/>
      <c r="ID134" s="586"/>
      <c r="IE134" s="586"/>
      <c r="IF134" s="486"/>
      <c r="IG134" s="601"/>
      <c r="IH134" s="486"/>
      <c r="II134" s="602"/>
      <c r="IJ134" s="636"/>
      <c r="IK134" s="586"/>
      <c r="IL134" s="586"/>
      <c r="IM134" s="586"/>
      <c r="IN134" s="486"/>
      <c r="IO134" s="601"/>
      <c r="IP134" s="486"/>
    </row>
    <row r="135" spans="1:250" s="244" customFormat="1" ht="14.1" hidden="1" customHeight="1">
      <c r="A135" s="306" t="s">
        <v>73</v>
      </c>
      <c r="B135" s="596">
        <v>67.311000000000007</v>
      </c>
      <c r="C135" s="568">
        <v>27.329000000000001</v>
      </c>
      <c r="D135" s="566">
        <v>79.097999999999999</v>
      </c>
      <c r="E135" s="596">
        <v>137.726</v>
      </c>
      <c r="F135" s="568">
        <v>229.58</v>
      </c>
      <c r="G135" s="623">
        <v>898.42</v>
      </c>
      <c r="H135" s="604"/>
      <c r="I135" s="622">
        <v>1439.4639999999999</v>
      </c>
      <c r="J135" s="486"/>
      <c r="K135" s="602"/>
      <c r="L135" s="636"/>
      <c r="M135" s="586"/>
      <c r="N135" s="586"/>
      <c r="O135" s="586"/>
      <c r="P135" s="486"/>
      <c r="Q135" s="601"/>
      <c r="R135" s="486"/>
      <c r="S135" s="602"/>
      <c r="T135" s="636"/>
      <c r="U135" s="586"/>
      <c r="V135" s="586"/>
      <c r="W135" s="586"/>
      <c r="X135" s="486"/>
      <c r="Y135" s="601"/>
      <c r="Z135" s="486"/>
      <c r="AA135" s="602"/>
      <c r="AB135" s="636"/>
      <c r="AC135" s="586"/>
      <c r="AD135" s="586"/>
      <c r="AE135" s="586"/>
      <c r="AF135" s="486"/>
      <c r="AG135" s="601"/>
      <c r="AH135" s="486"/>
      <c r="AI135" s="602"/>
      <c r="AJ135" s="636"/>
      <c r="AK135" s="586"/>
      <c r="AL135" s="586"/>
      <c r="AM135" s="586"/>
      <c r="AN135" s="486"/>
      <c r="AO135" s="601"/>
      <c r="AP135" s="486"/>
      <c r="AQ135" s="602"/>
      <c r="AR135" s="636"/>
      <c r="AS135" s="586"/>
      <c r="AT135" s="586"/>
      <c r="AU135" s="586"/>
      <c r="AV135" s="486"/>
      <c r="AW135" s="601"/>
      <c r="AX135" s="486"/>
      <c r="AY135" s="602"/>
      <c r="AZ135" s="636"/>
      <c r="BA135" s="586"/>
      <c r="BB135" s="586"/>
      <c r="BC135" s="586"/>
      <c r="BD135" s="486"/>
      <c r="BE135" s="601"/>
      <c r="BF135" s="486"/>
      <c r="BG135" s="602"/>
      <c r="BH135" s="636"/>
      <c r="BI135" s="586"/>
      <c r="BJ135" s="586"/>
      <c r="BK135" s="586"/>
      <c r="BL135" s="486"/>
      <c r="BM135" s="601"/>
      <c r="BN135" s="486"/>
      <c r="BO135" s="602"/>
      <c r="BP135" s="636"/>
      <c r="BQ135" s="586"/>
      <c r="BR135" s="586"/>
      <c r="BS135" s="586"/>
      <c r="BT135" s="486"/>
      <c r="BU135" s="601"/>
      <c r="BV135" s="486"/>
      <c r="BW135" s="602"/>
      <c r="BX135" s="636"/>
      <c r="BY135" s="586"/>
      <c r="BZ135" s="586"/>
      <c r="CA135" s="586"/>
      <c r="CB135" s="486"/>
      <c r="CC135" s="601"/>
      <c r="CD135" s="486"/>
      <c r="CE135" s="602"/>
      <c r="CF135" s="636"/>
      <c r="CG135" s="586"/>
      <c r="CH135" s="586"/>
      <c r="CI135" s="586"/>
      <c r="CJ135" s="486"/>
      <c r="CK135" s="601"/>
      <c r="CL135" s="486"/>
      <c r="CM135" s="602"/>
      <c r="CN135" s="636"/>
      <c r="CO135" s="586"/>
      <c r="CP135" s="586"/>
      <c r="CQ135" s="586"/>
      <c r="CR135" s="486"/>
      <c r="CS135" s="601"/>
      <c r="CT135" s="486"/>
      <c r="CU135" s="602"/>
      <c r="CV135" s="636"/>
      <c r="CW135" s="586"/>
      <c r="CX135" s="586"/>
      <c r="CY135" s="586"/>
      <c r="CZ135" s="486"/>
      <c r="DA135" s="601"/>
      <c r="DB135" s="486"/>
      <c r="DC135" s="602"/>
      <c r="DD135" s="636"/>
      <c r="DE135" s="586"/>
      <c r="DF135" s="586"/>
      <c r="DG135" s="586"/>
      <c r="DH135" s="486"/>
      <c r="DI135" s="601"/>
      <c r="DJ135" s="486"/>
      <c r="DK135" s="602"/>
      <c r="DL135" s="636"/>
      <c r="DM135" s="586"/>
      <c r="DN135" s="586"/>
      <c r="DO135" s="586"/>
      <c r="DP135" s="486"/>
      <c r="DQ135" s="601"/>
      <c r="DR135" s="486"/>
      <c r="DS135" s="602"/>
      <c r="DT135" s="636"/>
      <c r="DU135" s="586"/>
      <c r="DV135" s="586"/>
      <c r="DW135" s="586"/>
      <c r="DX135" s="486"/>
      <c r="DY135" s="601"/>
      <c r="DZ135" s="486"/>
      <c r="EA135" s="602"/>
      <c r="EB135" s="636"/>
      <c r="EC135" s="586"/>
      <c r="ED135" s="586"/>
      <c r="EE135" s="586"/>
      <c r="EF135" s="486"/>
      <c r="EG135" s="601"/>
      <c r="EH135" s="486"/>
      <c r="EI135" s="602"/>
      <c r="EJ135" s="636"/>
      <c r="EK135" s="586"/>
      <c r="EL135" s="586"/>
      <c r="EM135" s="586"/>
      <c r="EN135" s="486"/>
      <c r="EO135" s="601"/>
      <c r="EP135" s="486"/>
      <c r="EQ135" s="602"/>
      <c r="ER135" s="636"/>
      <c r="ES135" s="586"/>
      <c r="ET135" s="586"/>
      <c r="EU135" s="586"/>
      <c r="EV135" s="486"/>
      <c r="EW135" s="601"/>
      <c r="EX135" s="486"/>
      <c r="EY135" s="602"/>
      <c r="EZ135" s="636"/>
      <c r="FA135" s="586"/>
      <c r="FB135" s="586"/>
      <c r="FC135" s="586"/>
      <c r="FD135" s="486"/>
      <c r="FE135" s="601"/>
      <c r="FF135" s="486"/>
      <c r="FG135" s="602"/>
      <c r="FH135" s="636"/>
      <c r="FI135" s="586"/>
      <c r="FJ135" s="586"/>
      <c r="FK135" s="586"/>
      <c r="FL135" s="486"/>
      <c r="FM135" s="601"/>
      <c r="FN135" s="486"/>
      <c r="FO135" s="602"/>
      <c r="FP135" s="636"/>
      <c r="FQ135" s="586"/>
      <c r="FR135" s="586"/>
      <c r="FS135" s="586"/>
      <c r="FT135" s="486"/>
      <c r="FU135" s="601"/>
      <c r="FV135" s="486"/>
      <c r="FW135" s="602"/>
      <c r="FX135" s="636"/>
      <c r="FY135" s="586"/>
      <c r="FZ135" s="586"/>
      <c r="GA135" s="586"/>
      <c r="GB135" s="486"/>
      <c r="GC135" s="601"/>
      <c r="GD135" s="486"/>
      <c r="GE135" s="602"/>
      <c r="GF135" s="636"/>
      <c r="GG135" s="586"/>
      <c r="GH135" s="586"/>
      <c r="GI135" s="586"/>
      <c r="GJ135" s="486"/>
      <c r="GK135" s="601"/>
      <c r="GL135" s="486"/>
      <c r="GM135" s="602"/>
      <c r="GN135" s="636"/>
      <c r="GO135" s="586"/>
      <c r="GP135" s="586"/>
      <c r="GQ135" s="586"/>
      <c r="GR135" s="486"/>
      <c r="GS135" s="601"/>
      <c r="GT135" s="486"/>
      <c r="GU135" s="602"/>
      <c r="GV135" s="636"/>
      <c r="GW135" s="586"/>
      <c r="GX135" s="586"/>
      <c r="GY135" s="586"/>
      <c r="GZ135" s="486"/>
      <c r="HA135" s="601"/>
      <c r="HB135" s="486"/>
      <c r="HC135" s="602"/>
      <c r="HD135" s="636"/>
      <c r="HE135" s="586"/>
      <c r="HF135" s="586"/>
      <c r="HG135" s="586"/>
      <c r="HH135" s="486"/>
      <c r="HI135" s="601"/>
      <c r="HJ135" s="486"/>
      <c r="HK135" s="602"/>
      <c r="HL135" s="636"/>
      <c r="HM135" s="586"/>
      <c r="HN135" s="586"/>
      <c r="HO135" s="586"/>
      <c r="HP135" s="486"/>
      <c r="HQ135" s="601"/>
      <c r="HR135" s="486"/>
      <c r="HS135" s="602"/>
      <c r="HT135" s="636"/>
      <c r="HU135" s="586"/>
      <c r="HV135" s="586"/>
      <c r="HW135" s="586"/>
      <c r="HX135" s="486"/>
      <c r="HY135" s="601"/>
      <c r="HZ135" s="486"/>
      <c r="IA135" s="602"/>
      <c r="IB135" s="636"/>
      <c r="IC135" s="586"/>
      <c r="ID135" s="586"/>
      <c r="IE135" s="586"/>
      <c r="IF135" s="486"/>
      <c r="IG135" s="601"/>
      <c r="IH135" s="486"/>
      <c r="II135" s="602"/>
      <c r="IJ135" s="636"/>
      <c r="IK135" s="586"/>
      <c r="IL135" s="586"/>
      <c r="IM135" s="586"/>
      <c r="IN135" s="486"/>
      <c r="IO135" s="601"/>
      <c r="IP135" s="486"/>
    </row>
    <row r="136" spans="1:250" s="244" customFormat="1" ht="14.1" hidden="1" customHeight="1">
      <c r="A136" s="306" t="s">
        <v>74</v>
      </c>
      <c r="B136" s="596">
        <v>58.475999999999999</v>
      </c>
      <c r="C136" s="603">
        <v>121.429</v>
      </c>
      <c r="D136" s="603"/>
      <c r="E136" s="596">
        <v>110.40900000000001</v>
      </c>
      <c r="F136" s="568">
        <v>255.27199999999999</v>
      </c>
      <c r="G136" s="623">
        <v>887.976</v>
      </c>
      <c r="H136" s="604"/>
      <c r="I136" s="622">
        <v>1433.5619999999999</v>
      </c>
      <c r="J136" s="486"/>
      <c r="K136" s="602"/>
      <c r="L136" s="636"/>
      <c r="M136" s="586"/>
      <c r="N136" s="586"/>
      <c r="O136" s="586"/>
      <c r="P136" s="486"/>
      <c r="Q136" s="601"/>
      <c r="R136" s="486"/>
      <c r="S136" s="602"/>
      <c r="T136" s="636"/>
      <c r="U136" s="586"/>
      <c r="V136" s="586"/>
      <c r="W136" s="586"/>
      <c r="X136" s="486"/>
      <c r="Y136" s="601"/>
      <c r="Z136" s="486"/>
      <c r="AA136" s="602"/>
      <c r="AB136" s="636"/>
      <c r="AC136" s="586"/>
      <c r="AD136" s="586"/>
      <c r="AE136" s="586"/>
      <c r="AF136" s="486"/>
      <c r="AG136" s="601"/>
      <c r="AH136" s="486"/>
      <c r="AI136" s="602"/>
      <c r="AJ136" s="636"/>
      <c r="AK136" s="586"/>
      <c r="AL136" s="586"/>
      <c r="AM136" s="586"/>
      <c r="AN136" s="486"/>
      <c r="AO136" s="601"/>
      <c r="AP136" s="486"/>
      <c r="AQ136" s="602"/>
      <c r="AR136" s="636"/>
      <c r="AS136" s="586"/>
      <c r="AT136" s="586"/>
      <c r="AU136" s="586"/>
      <c r="AV136" s="486"/>
      <c r="AW136" s="601"/>
      <c r="AX136" s="486"/>
      <c r="AY136" s="602"/>
      <c r="AZ136" s="636"/>
      <c r="BA136" s="586"/>
      <c r="BB136" s="586"/>
      <c r="BC136" s="586"/>
      <c r="BD136" s="486"/>
      <c r="BE136" s="601"/>
      <c r="BF136" s="486"/>
      <c r="BG136" s="602"/>
      <c r="BH136" s="636"/>
      <c r="BI136" s="586"/>
      <c r="BJ136" s="586"/>
      <c r="BK136" s="586"/>
      <c r="BL136" s="486"/>
      <c r="BM136" s="601"/>
      <c r="BN136" s="486"/>
      <c r="BO136" s="602"/>
      <c r="BP136" s="636"/>
      <c r="BQ136" s="586"/>
      <c r="BR136" s="586"/>
      <c r="BS136" s="586"/>
      <c r="BT136" s="486"/>
      <c r="BU136" s="601"/>
      <c r="BV136" s="486"/>
      <c r="BW136" s="602"/>
      <c r="BX136" s="636"/>
      <c r="BY136" s="586"/>
      <c r="BZ136" s="586"/>
      <c r="CA136" s="586"/>
      <c r="CB136" s="486"/>
      <c r="CC136" s="601"/>
      <c r="CD136" s="486"/>
      <c r="CE136" s="602"/>
      <c r="CF136" s="636"/>
      <c r="CG136" s="586"/>
      <c r="CH136" s="586"/>
      <c r="CI136" s="586"/>
      <c r="CJ136" s="486"/>
      <c r="CK136" s="601"/>
      <c r="CL136" s="486"/>
      <c r="CM136" s="602"/>
      <c r="CN136" s="636"/>
      <c r="CO136" s="586"/>
      <c r="CP136" s="586"/>
      <c r="CQ136" s="586"/>
      <c r="CR136" s="486"/>
      <c r="CS136" s="601"/>
      <c r="CT136" s="486"/>
      <c r="CU136" s="602"/>
      <c r="CV136" s="636"/>
      <c r="CW136" s="586"/>
      <c r="CX136" s="586"/>
      <c r="CY136" s="586"/>
      <c r="CZ136" s="486"/>
      <c r="DA136" s="601"/>
      <c r="DB136" s="486"/>
      <c r="DC136" s="602"/>
      <c r="DD136" s="636"/>
      <c r="DE136" s="586"/>
      <c r="DF136" s="586"/>
      <c r="DG136" s="586"/>
      <c r="DH136" s="486"/>
      <c r="DI136" s="601"/>
      <c r="DJ136" s="486"/>
      <c r="DK136" s="602"/>
      <c r="DL136" s="636"/>
      <c r="DM136" s="586"/>
      <c r="DN136" s="586"/>
      <c r="DO136" s="586"/>
      <c r="DP136" s="486"/>
      <c r="DQ136" s="601"/>
      <c r="DR136" s="486"/>
      <c r="DS136" s="602"/>
      <c r="DT136" s="636"/>
      <c r="DU136" s="586"/>
      <c r="DV136" s="586"/>
      <c r="DW136" s="586"/>
      <c r="DX136" s="486"/>
      <c r="DY136" s="601"/>
      <c r="DZ136" s="486"/>
      <c r="EA136" s="602"/>
      <c r="EB136" s="636"/>
      <c r="EC136" s="586"/>
      <c r="ED136" s="586"/>
      <c r="EE136" s="586"/>
      <c r="EF136" s="486"/>
      <c r="EG136" s="601"/>
      <c r="EH136" s="486"/>
      <c r="EI136" s="602"/>
      <c r="EJ136" s="636"/>
      <c r="EK136" s="586"/>
      <c r="EL136" s="586"/>
      <c r="EM136" s="586"/>
      <c r="EN136" s="486"/>
      <c r="EO136" s="601"/>
      <c r="EP136" s="486"/>
      <c r="EQ136" s="602"/>
      <c r="ER136" s="636"/>
      <c r="ES136" s="586"/>
      <c r="ET136" s="586"/>
      <c r="EU136" s="586"/>
      <c r="EV136" s="486"/>
      <c r="EW136" s="601"/>
      <c r="EX136" s="486"/>
      <c r="EY136" s="602"/>
      <c r="EZ136" s="636"/>
      <c r="FA136" s="586"/>
      <c r="FB136" s="586"/>
      <c r="FC136" s="586"/>
      <c r="FD136" s="486"/>
      <c r="FE136" s="601"/>
      <c r="FF136" s="486"/>
      <c r="FG136" s="602"/>
      <c r="FH136" s="636"/>
      <c r="FI136" s="586"/>
      <c r="FJ136" s="586"/>
      <c r="FK136" s="586"/>
      <c r="FL136" s="486"/>
      <c r="FM136" s="601"/>
      <c r="FN136" s="486"/>
      <c r="FO136" s="602"/>
      <c r="FP136" s="636"/>
      <c r="FQ136" s="586"/>
      <c r="FR136" s="586"/>
      <c r="FS136" s="586"/>
      <c r="FT136" s="486"/>
      <c r="FU136" s="601"/>
      <c r="FV136" s="486"/>
      <c r="FW136" s="602"/>
      <c r="FX136" s="636"/>
      <c r="FY136" s="586"/>
      <c r="FZ136" s="586"/>
      <c r="GA136" s="586"/>
      <c r="GB136" s="486"/>
      <c r="GC136" s="601"/>
      <c r="GD136" s="486"/>
      <c r="GE136" s="602"/>
      <c r="GF136" s="636"/>
      <c r="GG136" s="586"/>
      <c r="GH136" s="586"/>
      <c r="GI136" s="586"/>
      <c r="GJ136" s="486"/>
      <c r="GK136" s="601"/>
      <c r="GL136" s="486"/>
      <c r="GM136" s="602"/>
      <c r="GN136" s="636"/>
      <c r="GO136" s="586"/>
      <c r="GP136" s="586"/>
      <c r="GQ136" s="586"/>
      <c r="GR136" s="486"/>
      <c r="GS136" s="601"/>
      <c r="GT136" s="486"/>
      <c r="GU136" s="602"/>
      <c r="GV136" s="636"/>
      <c r="GW136" s="586"/>
      <c r="GX136" s="586"/>
      <c r="GY136" s="586"/>
      <c r="GZ136" s="486"/>
      <c r="HA136" s="601"/>
      <c r="HB136" s="486"/>
      <c r="HC136" s="602"/>
      <c r="HD136" s="636"/>
      <c r="HE136" s="586"/>
      <c r="HF136" s="586"/>
      <c r="HG136" s="586"/>
      <c r="HH136" s="486"/>
      <c r="HI136" s="601"/>
      <c r="HJ136" s="486"/>
      <c r="HK136" s="602"/>
      <c r="HL136" s="636"/>
      <c r="HM136" s="586"/>
      <c r="HN136" s="586"/>
      <c r="HO136" s="586"/>
      <c r="HP136" s="486"/>
      <c r="HQ136" s="601"/>
      <c r="HR136" s="486"/>
      <c r="HS136" s="602"/>
      <c r="HT136" s="636"/>
      <c r="HU136" s="586"/>
      <c r="HV136" s="586"/>
      <c r="HW136" s="586"/>
      <c r="HX136" s="486"/>
      <c r="HY136" s="601"/>
      <c r="HZ136" s="486"/>
      <c r="IA136" s="602"/>
      <c r="IB136" s="636"/>
      <c r="IC136" s="586"/>
      <c r="ID136" s="586"/>
      <c r="IE136" s="586"/>
      <c r="IF136" s="486"/>
      <c r="IG136" s="601"/>
      <c r="IH136" s="486"/>
      <c r="II136" s="602"/>
      <c r="IJ136" s="636"/>
      <c r="IK136" s="586"/>
      <c r="IL136" s="586"/>
      <c r="IM136" s="586"/>
      <c r="IN136" s="486"/>
      <c r="IO136" s="601"/>
      <c r="IP136" s="486"/>
    </row>
    <row r="137" spans="1:250" s="244" customFormat="1" ht="14.1" hidden="1" customHeight="1">
      <c r="A137" s="306" t="s">
        <v>75</v>
      </c>
      <c r="B137" s="596">
        <v>58.991</v>
      </c>
      <c r="C137" s="639">
        <v>112.52500000000001</v>
      </c>
      <c r="D137" s="616"/>
      <c r="E137" s="605">
        <v>291.33699999999999</v>
      </c>
      <c r="F137" s="604"/>
      <c r="G137" s="623">
        <v>908.41099999999994</v>
      </c>
      <c r="H137" s="604"/>
      <c r="I137" s="622">
        <v>1371.2639999999999</v>
      </c>
      <c r="J137" s="486"/>
      <c r="K137" s="602"/>
      <c r="L137" s="636"/>
      <c r="M137" s="586"/>
      <c r="N137" s="586"/>
      <c r="O137" s="586"/>
      <c r="P137" s="486"/>
      <c r="Q137" s="601"/>
      <c r="R137" s="486"/>
      <c r="S137" s="602"/>
      <c r="T137" s="636"/>
      <c r="U137" s="586"/>
      <c r="V137" s="586"/>
      <c r="W137" s="586"/>
      <c r="X137" s="486"/>
      <c r="Y137" s="601"/>
      <c r="Z137" s="486"/>
      <c r="AA137" s="602"/>
      <c r="AB137" s="636"/>
      <c r="AC137" s="586"/>
      <c r="AD137" s="586"/>
      <c r="AE137" s="586"/>
      <c r="AF137" s="486"/>
      <c r="AG137" s="601"/>
      <c r="AH137" s="486"/>
      <c r="AI137" s="602"/>
      <c r="AJ137" s="636"/>
      <c r="AK137" s="586"/>
      <c r="AL137" s="586"/>
      <c r="AM137" s="586"/>
      <c r="AN137" s="486"/>
      <c r="AO137" s="601"/>
      <c r="AP137" s="486"/>
      <c r="AQ137" s="602"/>
      <c r="AR137" s="636"/>
      <c r="AS137" s="586"/>
      <c r="AT137" s="586"/>
      <c r="AU137" s="586"/>
      <c r="AV137" s="486"/>
      <c r="AW137" s="601"/>
      <c r="AX137" s="486"/>
      <c r="AY137" s="602"/>
      <c r="AZ137" s="636"/>
      <c r="BA137" s="586"/>
      <c r="BB137" s="586"/>
      <c r="BC137" s="586"/>
      <c r="BD137" s="486"/>
      <c r="BE137" s="601"/>
      <c r="BF137" s="486"/>
      <c r="BG137" s="602"/>
      <c r="BH137" s="636"/>
      <c r="BI137" s="586"/>
      <c r="BJ137" s="586"/>
      <c r="BK137" s="586"/>
      <c r="BL137" s="486"/>
      <c r="BM137" s="601"/>
      <c r="BN137" s="486"/>
      <c r="BO137" s="602"/>
      <c r="BP137" s="636"/>
      <c r="BQ137" s="586"/>
      <c r="BR137" s="586"/>
      <c r="BS137" s="586"/>
      <c r="BT137" s="486"/>
      <c r="BU137" s="601"/>
      <c r="BV137" s="486"/>
      <c r="BW137" s="602"/>
      <c r="BX137" s="636"/>
      <c r="BY137" s="586"/>
      <c r="BZ137" s="586"/>
      <c r="CA137" s="586"/>
      <c r="CB137" s="486"/>
      <c r="CC137" s="601"/>
      <c r="CD137" s="486"/>
      <c r="CE137" s="602"/>
      <c r="CF137" s="636"/>
      <c r="CG137" s="586"/>
      <c r="CH137" s="586"/>
      <c r="CI137" s="586"/>
      <c r="CJ137" s="486"/>
      <c r="CK137" s="601"/>
      <c r="CL137" s="486"/>
      <c r="CM137" s="602"/>
      <c r="CN137" s="636"/>
      <c r="CO137" s="586"/>
      <c r="CP137" s="586"/>
      <c r="CQ137" s="586"/>
      <c r="CR137" s="486"/>
      <c r="CS137" s="601"/>
      <c r="CT137" s="486"/>
      <c r="CU137" s="602"/>
      <c r="CV137" s="636"/>
      <c r="CW137" s="586"/>
      <c r="CX137" s="586"/>
      <c r="CY137" s="586"/>
      <c r="CZ137" s="486"/>
      <c r="DA137" s="601"/>
      <c r="DB137" s="486"/>
      <c r="DC137" s="602"/>
      <c r="DD137" s="636"/>
      <c r="DE137" s="586"/>
      <c r="DF137" s="586"/>
      <c r="DG137" s="586"/>
      <c r="DH137" s="486"/>
      <c r="DI137" s="601"/>
      <c r="DJ137" s="486"/>
      <c r="DK137" s="602"/>
      <c r="DL137" s="636"/>
      <c r="DM137" s="586"/>
      <c r="DN137" s="586"/>
      <c r="DO137" s="586"/>
      <c r="DP137" s="486"/>
      <c r="DQ137" s="601"/>
      <c r="DR137" s="486"/>
      <c r="DS137" s="602"/>
      <c r="DT137" s="636"/>
      <c r="DU137" s="586"/>
      <c r="DV137" s="586"/>
      <c r="DW137" s="586"/>
      <c r="DX137" s="486"/>
      <c r="DY137" s="601"/>
      <c r="DZ137" s="486"/>
      <c r="EA137" s="602"/>
      <c r="EB137" s="636"/>
      <c r="EC137" s="586"/>
      <c r="ED137" s="586"/>
      <c r="EE137" s="586"/>
      <c r="EF137" s="486"/>
      <c r="EG137" s="601"/>
      <c r="EH137" s="486"/>
      <c r="EI137" s="602"/>
      <c r="EJ137" s="636"/>
      <c r="EK137" s="586"/>
      <c r="EL137" s="586"/>
      <c r="EM137" s="586"/>
      <c r="EN137" s="486"/>
      <c r="EO137" s="601"/>
      <c r="EP137" s="486"/>
      <c r="EQ137" s="602"/>
      <c r="ER137" s="636"/>
      <c r="ES137" s="586"/>
      <c r="ET137" s="586"/>
      <c r="EU137" s="586"/>
      <c r="EV137" s="486"/>
      <c r="EW137" s="601"/>
      <c r="EX137" s="486"/>
      <c r="EY137" s="602"/>
      <c r="EZ137" s="636"/>
      <c r="FA137" s="586"/>
      <c r="FB137" s="586"/>
      <c r="FC137" s="586"/>
      <c r="FD137" s="486"/>
      <c r="FE137" s="601"/>
      <c r="FF137" s="486"/>
      <c r="FG137" s="602"/>
      <c r="FH137" s="636"/>
      <c r="FI137" s="586"/>
      <c r="FJ137" s="586"/>
      <c r="FK137" s="586"/>
      <c r="FL137" s="486"/>
      <c r="FM137" s="601"/>
      <c r="FN137" s="486"/>
      <c r="FO137" s="602"/>
      <c r="FP137" s="636"/>
      <c r="FQ137" s="586"/>
      <c r="FR137" s="586"/>
      <c r="FS137" s="586"/>
      <c r="FT137" s="486"/>
      <c r="FU137" s="601"/>
      <c r="FV137" s="486"/>
      <c r="FW137" s="602"/>
      <c r="FX137" s="636"/>
      <c r="FY137" s="586"/>
      <c r="FZ137" s="586"/>
      <c r="GA137" s="586"/>
      <c r="GB137" s="486"/>
      <c r="GC137" s="601"/>
      <c r="GD137" s="486"/>
      <c r="GE137" s="602"/>
      <c r="GF137" s="636"/>
      <c r="GG137" s="586"/>
      <c r="GH137" s="586"/>
      <c r="GI137" s="586"/>
      <c r="GJ137" s="486"/>
      <c r="GK137" s="601"/>
      <c r="GL137" s="486"/>
      <c r="GM137" s="602"/>
      <c r="GN137" s="636"/>
      <c r="GO137" s="586"/>
      <c r="GP137" s="586"/>
      <c r="GQ137" s="586"/>
      <c r="GR137" s="486"/>
      <c r="GS137" s="601"/>
      <c r="GT137" s="486"/>
      <c r="GU137" s="602"/>
      <c r="GV137" s="636"/>
      <c r="GW137" s="586"/>
      <c r="GX137" s="586"/>
      <c r="GY137" s="586"/>
      <c r="GZ137" s="486"/>
      <c r="HA137" s="601"/>
      <c r="HB137" s="486"/>
      <c r="HC137" s="602"/>
      <c r="HD137" s="636"/>
      <c r="HE137" s="586"/>
      <c r="HF137" s="586"/>
      <c r="HG137" s="586"/>
      <c r="HH137" s="486"/>
      <c r="HI137" s="601"/>
      <c r="HJ137" s="486"/>
      <c r="HK137" s="602"/>
      <c r="HL137" s="636"/>
      <c r="HM137" s="586"/>
      <c r="HN137" s="586"/>
      <c r="HO137" s="586"/>
      <c r="HP137" s="486"/>
      <c r="HQ137" s="601"/>
      <c r="HR137" s="486"/>
      <c r="HS137" s="602"/>
      <c r="HT137" s="636"/>
      <c r="HU137" s="586"/>
      <c r="HV137" s="586"/>
      <c r="HW137" s="586"/>
      <c r="HX137" s="486"/>
      <c r="HY137" s="601"/>
      <c r="HZ137" s="486"/>
      <c r="IA137" s="602"/>
      <c r="IB137" s="636"/>
      <c r="IC137" s="586"/>
      <c r="ID137" s="586"/>
      <c r="IE137" s="586"/>
      <c r="IF137" s="486"/>
      <c r="IG137" s="601"/>
      <c r="IH137" s="486"/>
      <c r="II137" s="602"/>
      <c r="IJ137" s="636"/>
      <c r="IK137" s="586"/>
      <c r="IL137" s="586"/>
      <c r="IM137" s="586"/>
      <c r="IN137" s="486"/>
      <c r="IO137" s="601"/>
      <c r="IP137" s="486"/>
    </row>
    <row r="138" spans="1:250" s="244" customFormat="1" ht="14.1" customHeight="1">
      <c r="A138" s="306" t="s">
        <v>76</v>
      </c>
      <c r="B138" s="596">
        <v>60.378999999999998</v>
      </c>
      <c r="C138" s="568">
        <v>31.914999999999999</v>
      </c>
      <c r="D138" s="566">
        <v>47.912999999999997</v>
      </c>
      <c r="E138" s="605">
        <v>250.81399999999999</v>
      </c>
      <c r="F138" s="604"/>
      <c r="G138" s="623">
        <v>1006.49</v>
      </c>
      <c r="H138" s="604"/>
      <c r="I138" s="622">
        <v>1397.511</v>
      </c>
      <c r="J138" s="486"/>
      <c r="K138" s="602"/>
      <c r="L138" s="636"/>
      <c r="M138" s="586"/>
      <c r="N138" s="586"/>
      <c r="O138" s="586"/>
      <c r="P138" s="486"/>
      <c r="Q138" s="601"/>
      <c r="R138" s="486"/>
      <c r="S138" s="602"/>
      <c r="T138" s="636"/>
      <c r="U138" s="586"/>
      <c r="V138" s="586"/>
      <c r="W138" s="586"/>
      <c r="X138" s="486"/>
      <c r="Y138" s="601"/>
      <c r="Z138" s="486"/>
      <c r="AA138" s="602"/>
      <c r="AB138" s="636"/>
      <c r="AC138" s="586"/>
      <c r="AD138" s="586"/>
      <c r="AE138" s="586"/>
      <c r="AF138" s="486"/>
      <c r="AG138" s="601"/>
      <c r="AH138" s="486"/>
      <c r="AI138" s="602"/>
      <c r="AJ138" s="636"/>
      <c r="AK138" s="586"/>
      <c r="AL138" s="586"/>
      <c r="AM138" s="586"/>
      <c r="AN138" s="486"/>
      <c r="AO138" s="601"/>
      <c r="AP138" s="486"/>
      <c r="AQ138" s="602"/>
      <c r="AR138" s="636"/>
      <c r="AS138" s="586"/>
      <c r="AT138" s="586"/>
      <c r="AU138" s="586"/>
      <c r="AV138" s="486"/>
      <c r="AW138" s="601"/>
      <c r="AX138" s="486"/>
      <c r="AY138" s="602"/>
      <c r="AZ138" s="636"/>
      <c r="BA138" s="586"/>
      <c r="BB138" s="586"/>
      <c r="BC138" s="586"/>
      <c r="BD138" s="486"/>
      <c r="BE138" s="601"/>
      <c r="BF138" s="486"/>
      <c r="BG138" s="602"/>
      <c r="BH138" s="636"/>
      <c r="BI138" s="586"/>
      <c r="BJ138" s="586"/>
      <c r="BK138" s="586"/>
      <c r="BL138" s="486"/>
      <c r="BM138" s="601"/>
      <c r="BN138" s="486"/>
      <c r="BO138" s="602"/>
      <c r="BP138" s="636"/>
      <c r="BQ138" s="586"/>
      <c r="BR138" s="586"/>
      <c r="BS138" s="586"/>
      <c r="BT138" s="486"/>
      <c r="BU138" s="601"/>
      <c r="BV138" s="486"/>
      <c r="BW138" s="602"/>
      <c r="BX138" s="636"/>
      <c r="BY138" s="586"/>
      <c r="BZ138" s="586"/>
      <c r="CA138" s="586"/>
      <c r="CB138" s="486"/>
      <c r="CC138" s="601"/>
      <c r="CD138" s="486"/>
      <c r="CE138" s="602"/>
      <c r="CF138" s="636"/>
      <c r="CG138" s="586"/>
      <c r="CH138" s="586"/>
      <c r="CI138" s="586"/>
      <c r="CJ138" s="486"/>
      <c r="CK138" s="601"/>
      <c r="CL138" s="486"/>
      <c r="CM138" s="602"/>
      <c r="CN138" s="636"/>
      <c r="CO138" s="586"/>
      <c r="CP138" s="586"/>
      <c r="CQ138" s="586"/>
      <c r="CR138" s="486"/>
      <c r="CS138" s="601"/>
      <c r="CT138" s="486"/>
      <c r="CU138" s="602"/>
      <c r="CV138" s="636"/>
      <c r="CW138" s="586"/>
      <c r="CX138" s="586"/>
      <c r="CY138" s="586"/>
      <c r="CZ138" s="486"/>
      <c r="DA138" s="601"/>
      <c r="DB138" s="486"/>
      <c r="DC138" s="602"/>
      <c r="DD138" s="636"/>
      <c r="DE138" s="586"/>
      <c r="DF138" s="586"/>
      <c r="DG138" s="586"/>
      <c r="DH138" s="486"/>
      <c r="DI138" s="601"/>
      <c r="DJ138" s="486"/>
      <c r="DK138" s="602"/>
      <c r="DL138" s="636"/>
      <c r="DM138" s="586"/>
      <c r="DN138" s="586"/>
      <c r="DO138" s="586"/>
      <c r="DP138" s="486"/>
      <c r="DQ138" s="601"/>
      <c r="DR138" s="486"/>
      <c r="DS138" s="602"/>
      <c r="DT138" s="636"/>
      <c r="DU138" s="586"/>
      <c r="DV138" s="586"/>
      <c r="DW138" s="586"/>
      <c r="DX138" s="486"/>
      <c r="DY138" s="601"/>
      <c r="DZ138" s="486"/>
      <c r="EA138" s="602"/>
      <c r="EB138" s="636"/>
      <c r="EC138" s="586"/>
      <c r="ED138" s="586"/>
      <c r="EE138" s="586"/>
      <c r="EF138" s="486"/>
      <c r="EG138" s="601"/>
      <c r="EH138" s="486"/>
      <c r="EI138" s="602"/>
      <c r="EJ138" s="636"/>
      <c r="EK138" s="586"/>
      <c r="EL138" s="586"/>
      <c r="EM138" s="586"/>
      <c r="EN138" s="486"/>
      <c r="EO138" s="601"/>
      <c r="EP138" s="486"/>
      <c r="EQ138" s="602"/>
      <c r="ER138" s="636"/>
      <c r="ES138" s="586"/>
      <c r="ET138" s="586"/>
      <c r="EU138" s="586"/>
      <c r="EV138" s="486"/>
      <c r="EW138" s="601"/>
      <c r="EX138" s="486"/>
      <c r="EY138" s="602"/>
      <c r="EZ138" s="636"/>
      <c r="FA138" s="586"/>
      <c r="FB138" s="586"/>
      <c r="FC138" s="586"/>
      <c r="FD138" s="486"/>
      <c r="FE138" s="601"/>
      <c r="FF138" s="486"/>
      <c r="FG138" s="602"/>
      <c r="FH138" s="636"/>
      <c r="FI138" s="586"/>
      <c r="FJ138" s="586"/>
      <c r="FK138" s="586"/>
      <c r="FL138" s="486"/>
      <c r="FM138" s="601"/>
      <c r="FN138" s="486"/>
      <c r="FO138" s="602"/>
      <c r="FP138" s="636"/>
      <c r="FQ138" s="586"/>
      <c r="FR138" s="586"/>
      <c r="FS138" s="586"/>
      <c r="FT138" s="486"/>
      <c r="FU138" s="601"/>
      <c r="FV138" s="486"/>
      <c r="FW138" s="602"/>
      <c r="FX138" s="636"/>
      <c r="FY138" s="586"/>
      <c r="FZ138" s="586"/>
      <c r="GA138" s="586"/>
      <c r="GB138" s="486"/>
      <c r="GC138" s="601"/>
      <c r="GD138" s="486"/>
      <c r="GE138" s="602"/>
      <c r="GF138" s="636"/>
      <c r="GG138" s="586"/>
      <c r="GH138" s="586"/>
      <c r="GI138" s="586"/>
      <c r="GJ138" s="486"/>
      <c r="GK138" s="601"/>
      <c r="GL138" s="486"/>
      <c r="GM138" s="602"/>
      <c r="GN138" s="636"/>
      <c r="GO138" s="586"/>
      <c r="GP138" s="586"/>
      <c r="GQ138" s="586"/>
      <c r="GR138" s="486"/>
      <c r="GS138" s="601"/>
      <c r="GT138" s="486"/>
      <c r="GU138" s="602"/>
      <c r="GV138" s="636"/>
      <c r="GW138" s="586"/>
      <c r="GX138" s="586"/>
      <c r="GY138" s="586"/>
      <c r="GZ138" s="486"/>
      <c r="HA138" s="601"/>
      <c r="HB138" s="486"/>
      <c r="HC138" s="602"/>
      <c r="HD138" s="636"/>
      <c r="HE138" s="586"/>
      <c r="HF138" s="586"/>
      <c r="HG138" s="586"/>
      <c r="HH138" s="486"/>
      <c r="HI138" s="601"/>
      <c r="HJ138" s="486"/>
      <c r="HK138" s="602"/>
      <c r="HL138" s="636"/>
      <c r="HM138" s="586"/>
      <c r="HN138" s="586"/>
      <c r="HO138" s="586"/>
      <c r="HP138" s="486"/>
      <c r="HQ138" s="601"/>
      <c r="HR138" s="486"/>
      <c r="HS138" s="602"/>
      <c r="HT138" s="636"/>
      <c r="HU138" s="586"/>
      <c r="HV138" s="586"/>
      <c r="HW138" s="586"/>
      <c r="HX138" s="486"/>
      <c r="HY138" s="601"/>
      <c r="HZ138" s="486"/>
      <c r="IA138" s="602"/>
      <c r="IB138" s="636"/>
      <c r="IC138" s="586"/>
      <c r="ID138" s="586"/>
      <c r="IE138" s="586"/>
      <c r="IF138" s="486"/>
      <c r="IG138" s="601"/>
      <c r="IH138" s="486"/>
      <c r="II138" s="602"/>
      <c r="IJ138" s="636"/>
      <c r="IK138" s="586"/>
      <c r="IL138" s="586"/>
      <c r="IM138" s="586"/>
      <c r="IN138" s="486"/>
      <c r="IO138" s="601"/>
      <c r="IP138" s="486"/>
    </row>
    <row r="139" spans="1:250" s="244" customFormat="1" ht="14.1" customHeight="1">
      <c r="A139" s="306" t="s">
        <v>77</v>
      </c>
      <c r="B139" s="596">
        <v>55.762999999999998</v>
      </c>
      <c r="C139" s="568">
        <v>19.962</v>
      </c>
      <c r="D139" s="566">
        <v>61.143000000000001</v>
      </c>
      <c r="E139" s="605">
        <v>320.238</v>
      </c>
      <c r="F139" s="604"/>
      <c r="G139" s="623">
        <v>1041.133</v>
      </c>
      <c r="H139" s="604"/>
      <c r="I139" s="622">
        <v>1498.239</v>
      </c>
      <c r="J139" s="486"/>
      <c r="K139" s="602"/>
      <c r="L139" s="636"/>
      <c r="M139" s="586"/>
      <c r="N139" s="586"/>
      <c r="O139" s="586"/>
      <c r="P139" s="486"/>
      <c r="Q139" s="601"/>
      <c r="R139" s="486"/>
      <c r="S139" s="602"/>
      <c r="T139" s="636"/>
      <c r="U139" s="586"/>
      <c r="V139" s="586"/>
      <c r="W139" s="586"/>
      <c r="X139" s="486"/>
      <c r="Y139" s="601"/>
      <c r="Z139" s="486"/>
      <c r="AA139" s="602"/>
      <c r="AB139" s="636"/>
      <c r="AC139" s="586"/>
      <c r="AD139" s="586"/>
      <c r="AE139" s="586"/>
      <c r="AF139" s="486"/>
      <c r="AG139" s="601"/>
      <c r="AH139" s="486"/>
      <c r="AI139" s="602"/>
      <c r="AJ139" s="636"/>
      <c r="AK139" s="586"/>
      <c r="AL139" s="586"/>
      <c r="AM139" s="586"/>
      <c r="AN139" s="486"/>
      <c r="AO139" s="601"/>
      <c r="AP139" s="486"/>
      <c r="AQ139" s="602"/>
      <c r="AR139" s="636"/>
      <c r="AS139" s="586"/>
      <c r="AT139" s="586"/>
      <c r="AU139" s="586"/>
      <c r="AV139" s="486"/>
      <c r="AW139" s="601"/>
      <c r="AX139" s="486"/>
      <c r="AY139" s="602"/>
      <c r="AZ139" s="636"/>
      <c r="BA139" s="586"/>
      <c r="BB139" s="586"/>
      <c r="BC139" s="586"/>
      <c r="BD139" s="486"/>
      <c r="BE139" s="601"/>
      <c r="BF139" s="486"/>
      <c r="BG139" s="602"/>
      <c r="BH139" s="636"/>
      <c r="BI139" s="586"/>
      <c r="BJ139" s="586"/>
      <c r="BK139" s="586"/>
      <c r="BL139" s="486"/>
      <c r="BM139" s="601"/>
      <c r="BN139" s="486"/>
      <c r="BO139" s="602"/>
      <c r="BP139" s="636"/>
      <c r="BQ139" s="586"/>
      <c r="BR139" s="586"/>
      <c r="BS139" s="586"/>
      <c r="BT139" s="486"/>
      <c r="BU139" s="601"/>
      <c r="BV139" s="486"/>
      <c r="BW139" s="602"/>
      <c r="BX139" s="636"/>
      <c r="BY139" s="586"/>
      <c r="BZ139" s="586"/>
      <c r="CA139" s="586"/>
      <c r="CB139" s="486"/>
      <c r="CC139" s="601"/>
      <c r="CD139" s="486"/>
      <c r="CE139" s="602"/>
      <c r="CF139" s="636"/>
      <c r="CG139" s="586"/>
      <c r="CH139" s="586"/>
      <c r="CI139" s="586"/>
      <c r="CJ139" s="486"/>
      <c r="CK139" s="601"/>
      <c r="CL139" s="486"/>
      <c r="CM139" s="602"/>
      <c r="CN139" s="636"/>
      <c r="CO139" s="586"/>
      <c r="CP139" s="586"/>
      <c r="CQ139" s="586"/>
      <c r="CR139" s="486"/>
      <c r="CS139" s="601"/>
      <c r="CT139" s="486"/>
      <c r="CU139" s="602"/>
      <c r="CV139" s="636"/>
      <c r="CW139" s="586"/>
      <c r="CX139" s="586"/>
      <c r="CY139" s="586"/>
      <c r="CZ139" s="486"/>
      <c r="DA139" s="601"/>
      <c r="DB139" s="486"/>
      <c r="DC139" s="602"/>
      <c r="DD139" s="636"/>
      <c r="DE139" s="586"/>
      <c r="DF139" s="586"/>
      <c r="DG139" s="586"/>
      <c r="DH139" s="486"/>
      <c r="DI139" s="601"/>
      <c r="DJ139" s="486"/>
      <c r="DK139" s="602"/>
      <c r="DL139" s="636"/>
      <c r="DM139" s="586"/>
      <c r="DN139" s="586"/>
      <c r="DO139" s="586"/>
      <c r="DP139" s="486"/>
      <c r="DQ139" s="601"/>
      <c r="DR139" s="486"/>
      <c r="DS139" s="602"/>
      <c r="DT139" s="636"/>
      <c r="DU139" s="586"/>
      <c r="DV139" s="586"/>
      <c r="DW139" s="586"/>
      <c r="DX139" s="486"/>
      <c r="DY139" s="601"/>
      <c r="DZ139" s="486"/>
      <c r="EA139" s="602"/>
      <c r="EB139" s="636"/>
      <c r="EC139" s="586"/>
      <c r="ED139" s="586"/>
      <c r="EE139" s="586"/>
      <c r="EF139" s="486"/>
      <c r="EG139" s="601"/>
      <c r="EH139" s="486"/>
      <c r="EI139" s="602"/>
      <c r="EJ139" s="636"/>
      <c r="EK139" s="586"/>
      <c r="EL139" s="586"/>
      <c r="EM139" s="586"/>
      <c r="EN139" s="486"/>
      <c r="EO139" s="601"/>
      <c r="EP139" s="486"/>
      <c r="EQ139" s="602"/>
      <c r="ER139" s="636"/>
      <c r="ES139" s="586"/>
      <c r="ET139" s="586"/>
      <c r="EU139" s="586"/>
      <c r="EV139" s="486"/>
      <c r="EW139" s="601"/>
      <c r="EX139" s="486"/>
      <c r="EY139" s="602"/>
      <c r="EZ139" s="636"/>
      <c r="FA139" s="586"/>
      <c r="FB139" s="586"/>
      <c r="FC139" s="586"/>
      <c r="FD139" s="486"/>
      <c r="FE139" s="601"/>
      <c r="FF139" s="486"/>
      <c r="FG139" s="602"/>
      <c r="FH139" s="636"/>
      <c r="FI139" s="586"/>
      <c r="FJ139" s="586"/>
      <c r="FK139" s="586"/>
      <c r="FL139" s="486"/>
      <c r="FM139" s="601"/>
      <c r="FN139" s="486"/>
      <c r="FO139" s="602"/>
      <c r="FP139" s="636"/>
      <c r="FQ139" s="586"/>
      <c r="FR139" s="586"/>
      <c r="FS139" s="586"/>
      <c r="FT139" s="486"/>
      <c r="FU139" s="601"/>
      <c r="FV139" s="486"/>
      <c r="FW139" s="602"/>
      <c r="FX139" s="636"/>
      <c r="FY139" s="586"/>
      <c r="FZ139" s="586"/>
      <c r="GA139" s="586"/>
      <c r="GB139" s="486"/>
      <c r="GC139" s="601"/>
      <c r="GD139" s="486"/>
      <c r="GE139" s="602"/>
      <c r="GF139" s="636"/>
      <c r="GG139" s="586"/>
      <c r="GH139" s="586"/>
      <c r="GI139" s="586"/>
      <c r="GJ139" s="486"/>
      <c r="GK139" s="601"/>
      <c r="GL139" s="486"/>
      <c r="GM139" s="602"/>
      <c r="GN139" s="636"/>
      <c r="GO139" s="586"/>
      <c r="GP139" s="586"/>
      <c r="GQ139" s="586"/>
      <c r="GR139" s="486"/>
      <c r="GS139" s="601"/>
      <c r="GT139" s="486"/>
      <c r="GU139" s="602"/>
      <c r="GV139" s="636"/>
      <c r="GW139" s="586"/>
      <c r="GX139" s="586"/>
      <c r="GY139" s="586"/>
      <c r="GZ139" s="486"/>
      <c r="HA139" s="601"/>
      <c r="HB139" s="486"/>
      <c r="HC139" s="602"/>
      <c r="HD139" s="636"/>
      <c r="HE139" s="586"/>
      <c r="HF139" s="586"/>
      <c r="HG139" s="586"/>
      <c r="HH139" s="486"/>
      <c r="HI139" s="601"/>
      <c r="HJ139" s="486"/>
      <c r="HK139" s="602"/>
      <c r="HL139" s="636"/>
      <c r="HM139" s="586"/>
      <c r="HN139" s="586"/>
      <c r="HO139" s="586"/>
      <c r="HP139" s="486"/>
      <c r="HQ139" s="601"/>
      <c r="HR139" s="486"/>
      <c r="HS139" s="602"/>
      <c r="HT139" s="636"/>
      <c r="HU139" s="586"/>
      <c r="HV139" s="586"/>
      <c r="HW139" s="586"/>
      <c r="HX139" s="486"/>
      <c r="HY139" s="601"/>
      <c r="HZ139" s="486"/>
      <c r="IA139" s="602"/>
      <c r="IB139" s="636"/>
      <c r="IC139" s="586"/>
      <c r="ID139" s="586"/>
      <c r="IE139" s="586"/>
      <c r="IF139" s="486"/>
      <c r="IG139" s="601"/>
      <c r="IH139" s="486"/>
      <c r="II139" s="602"/>
      <c r="IJ139" s="636"/>
      <c r="IK139" s="586"/>
      <c r="IL139" s="586"/>
      <c r="IM139" s="586"/>
      <c r="IN139" s="486"/>
      <c r="IO139" s="601"/>
      <c r="IP139" s="486"/>
    </row>
    <row r="140" spans="1:250" s="244" customFormat="1" ht="14.1" customHeight="1">
      <c r="A140" s="306" t="s">
        <v>78</v>
      </c>
      <c r="B140" s="596">
        <v>54.03</v>
      </c>
      <c r="C140" s="568">
        <v>20.22</v>
      </c>
      <c r="D140" s="566">
        <v>71.200999999999993</v>
      </c>
      <c r="E140" s="605">
        <v>233.18799999999999</v>
      </c>
      <c r="F140" s="604"/>
      <c r="G140" s="623">
        <v>1157.675</v>
      </c>
      <c r="H140" s="604"/>
      <c r="I140" s="622">
        <v>1536.3139999999999</v>
      </c>
      <c r="J140" s="486"/>
      <c r="K140" s="602"/>
      <c r="L140" s="636"/>
      <c r="M140" s="586"/>
      <c r="N140" s="586"/>
      <c r="O140" s="586"/>
      <c r="P140" s="486"/>
      <c r="Q140" s="601"/>
      <c r="R140" s="486"/>
      <c r="S140" s="602"/>
      <c r="T140" s="636"/>
      <c r="U140" s="586"/>
      <c r="V140" s="586"/>
      <c r="W140" s="586"/>
      <c r="X140" s="486"/>
      <c r="Y140" s="601"/>
      <c r="Z140" s="486"/>
      <c r="AA140" s="602"/>
      <c r="AB140" s="636"/>
      <c r="AC140" s="586"/>
      <c r="AD140" s="586"/>
      <c r="AE140" s="586"/>
      <c r="AF140" s="486"/>
      <c r="AG140" s="601"/>
      <c r="AH140" s="486"/>
      <c r="AI140" s="602"/>
      <c r="AJ140" s="636"/>
      <c r="AK140" s="586"/>
      <c r="AL140" s="586"/>
      <c r="AM140" s="586"/>
      <c r="AN140" s="486"/>
      <c r="AO140" s="601"/>
      <c r="AP140" s="486"/>
      <c r="AQ140" s="602"/>
      <c r="AR140" s="636"/>
      <c r="AS140" s="586"/>
      <c r="AT140" s="586"/>
      <c r="AU140" s="586"/>
      <c r="AV140" s="486"/>
      <c r="AW140" s="601"/>
      <c r="AX140" s="486"/>
      <c r="AY140" s="602"/>
      <c r="AZ140" s="636"/>
      <c r="BA140" s="586"/>
      <c r="BB140" s="586"/>
      <c r="BC140" s="586"/>
      <c r="BD140" s="486"/>
      <c r="BE140" s="601"/>
      <c r="BF140" s="486"/>
      <c r="BG140" s="602"/>
      <c r="BH140" s="636"/>
      <c r="BI140" s="586"/>
      <c r="BJ140" s="586"/>
      <c r="BK140" s="586"/>
      <c r="BL140" s="486"/>
      <c r="BM140" s="601"/>
      <c r="BN140" s="486"/>
      <c r="BO140" s="602"/>
      <c r="BP140" s="636"/>
      <c r="BQ140" s="586"/>
      <c r="BR140" s="586"/>
      <c r="BS140" s="586"/>
      <c r="BT140" s="486"/>
      <c r="BU140" s="601"/>
      <c r="BV140" s="486"/>
      <c r="BW140" s="602"/>
      <c r="BX140" s="636"/>
      <c r="BY140" s="586"/>
      <c r="BZ140" s="586"/>
      <c r="CA140" s="586"/>
      <c r="CB140" s="486"/>
      <c r="CC140" s="601"/>
      <c r="CD140" s="486"/>
      <c r="CE140" s="602"/>
      <c r="CF140" s="636"/>
      <c r="CG140" s="586"/>
      <c r="CH140" s="586"/>
      <c r="CI140" s="586"/>
      <c r="CJ140" s="486"/>
      <c r="CK140" s="601"/>
      <c r="CL140" s="486"/>
      <c r="CM140" s="602"/>
      <c r="CN140" s="636"/>
      <c r="CO140" s="586"/>
      <c r="CP140" s="586"/>
      <c r="CQ140" s="586"/>
      <c r="CR140" s="486"/>
      <c r="CS140" s="601"/>
      <c r="CT140" s="486"/>
      <c r="CU140" s="602"/>
      <c r="CV140" s="636"/>
      <c r="CW140" s="586"/>
      <c r="CX140" s="586"/>
      <c r="CY140" s="586"/>
      <c r="CZ140" s="486"/>
      <c r="DA140" s="601"/>
      <c r="DB140" s="486"/>
      <c r="DC140" s="602"/>
      <c r="DD140" s="636"/>
      <c r="DE140" s="586"/>
      <c r="DF140" s="586"/>
      <c r="DG140" s="586"/>
      <c r="DH140" s="486"/>
      <c r="DI140" s="601"/>
      <c r="DJ140" s="486"/>
      <c r="DK140" s="602"/>
      <c r="DL140" s="636"/>
      <c r="DM140" s="586"/>
      <c r="DN140" s="586"/>
      <c r="DO140" s="586"/>
      <c r="DP140" s="486"/>
      <c r="DQ140" s="601"/>
      <c r="DR140" s="486"/>
      <c r="DS140" s="602"/>
      <c r="DT140" s="636"/>
      <c r="DU140" s="586"/>
      <c r="DV140" s="586"/>
      <c r="DW140" s="586"/>
      <c r="DX140" s="486"/>
      <c r="DY140" s="601"/>
      <c r="DZ140" s="486"/>
      <c r="EA140" s="602"/>
      <c r="EB140" s="636"/>
      <c r="EC140" s="586"/>
      <c r="ED140" s="586"/>
      <c r="EE140" s="586"/>
      <c r="EF140" s="486"/>
      <c r="EG140" s="601"/>
      <c r="EH140" s="486"/>
      <c r="EI140" s="602"/>
      <c r="EJ140" s="636"/>
      <c r="EK140" s="586"/>
      <c r="EL140" s="586"/>
      <c r="EM140" s="586"/>
      <c r="EN140" s="486"/>
      <c r="EO140" s="601"/>
      <c r="EP140" s="486"/>
      <c r="EQ140" s="602"/>
      <c r="ER140" s="636"/>
      <c r="ES140" s="586"/>
      <c r="ET140" s="586"/>
      <c r="EU140" s="586"/>
      <c r="EV140" s="486"/>
      <c r="EW140" s="601"/>
      <c r="EX140" s="486"/>
      <c r="EY140" s="602"/>
      <c r="EZ140" s="636"/>
      <c r="FA140" s="586"/>
      <c r="FB140" s="586"/>
      <c r="FC140" s="586"/>
      <c r="FD140" s="486"/>
      <c r="FE140" s="601"/>
      <c r="FF140" s="486"/>
      <c r="FG140" s="602"/>
      <c r="FH140" s="636"/>
      <c r="FI140" s="586"/>
      <c r="FJ140" s="586"/>
      <c r="FK140" s="586"/>
      <c r="FL140" s="486"/>
      <c r="FM140" s="601"/>
      <c r="FN140" s="486"/>
      <c r="FO140" s="602"/>
      <c r="FP140" s="636"/>
      <c r="FQ140" s="586"/>
      <c r="FR140" s="586"/>
      <c r="FS140" s="586"/>
      <c r="FT140" s="486"/>
      <c r="FU140" s="601"/>
      <c r="FV140" s="486"/>
      <c r="FW140" s="602"/>
      <c r="FX140" s="636"/>
      <c r="FY140" s="586"/>
      <c r="FZ140" s="586"/>
      <c r="GA140" s="586"/>
      <c r="GB140" s="486"/>
      <c r="GC140" s="601"/>
      <c r="GD140" s="486"/>
      <c r="GE140" s="602"/>
      <c r="GF140" s="636"/>
      <c r="GG140" s="586"/>
      <c r="GH140" s="586"/>
      <c r="GI140" s="586"/>
      <c r="GJ140" s="486"/>
      <c r="GK140" s="601"/>
      <c r="GL140" s="486"/>
      <c r="GM140" s="602"/>
      <c r="GN140" s="636"/>
      <c r="GO140" s="586"/>
      <c r="GP140" s="586"/>
      <c r="GQ140" s="586"/>
      <c r="GR140" s="486"/>
      <c r="GS140" s="601"/>
      <c r="GT140" s="486"/>
      <c r="GU140" s="602"/>
      <c r="GV140" s="636"/>
      <c r="GW140" s="586"/>
      <c r="GX140" s="586"/>
      <c r="GY140" s="586"/>
      <c r="GZ140" s="486"/>
      <c r="HA140" s="601"/>
      <c r="HB140" s="486"/>
      <c r="HC140" s="602"/>
      <c r="HD140" s="636"/>
      <c r="HE140" s="586"/>
      <c r="HF140" s="586"/>
      <c r="HG140" s="586"/>
      <c r="HH140" s="486"/>
      <c r="HI140" s="601"/>
      <c r="HJ140" s="486"/>
      <c r="HK140" s="602"/>
      <c r="HL140" s="636"/>
      <c r="HM140" s="586"/>
      <c r="HN140" s="586"/>
      <c r="HO140" s="586"/>
      <c r="HP140" s="486"/>
      <c r="HQ140" s="601"/>
      <c r="HR140" s="486"/>
      <c r="HS140" s="602"/>
      <c r="HT140" s="636"/>
      <c r="HU140" s="586"/>
      <c r="HV140" s="586"/>
      <c r="HW140" s="586"/>
      <c r="HX140" s="486"/>
      <c r="HY140" s="601"/>
      <c r="HZ140" s="486"/>
      <c r="IA140" s="602"/>
      <c r="IB140" s="636"/>
      <c r="IC140" s="586"/>
      <c r="ID140" s="586"/>
      <c r="IE140" s="586"/>
      <c r="IF140" s="486"/>
      <c r="IG140" s="601"/>
      <c r="IH140" s="486"/>
      <c r="II140" s="602"/>
      <c r="IJ140" s="636"/>
      <c r="IK140" s="586"/>
      <c r="IL140" s="586"/>
      <c r="IM140" s="586"/>
      <c r="IN140" s="486"/>
      <c r="IO140" s="601"/>
      <c r="IP140" s="486"/>
    </row>
    <row r="141" spans="1:250" s="244" customFormat="1" ht="14.1" customHeight="1">
      <c r="A141" s="306" t="s">
        <v>79</v>
      </c>
      <c r="B141" s="596">
        <v>54.526000000000003</v>
      </c>
      <c r="C141" s="568">
        <v>21.657</v>
      </c>
      <c r="D141" s="566">
        <v>36.198</v>
      </c>
      <c r="E141" s="605">
        <v>236.88900000000001</v>
      </c>
      <c r="F141" s="604"/>
      <c r="G141" s="623">
        <v>1147.7619999999999</v>
      </c>
      <c r="H141" s="604"/>
      <c r="I141" s="622">
        <v>1497.0319999999999</v>
      </c>
      <c r="J141" s="486"/>
      <c r="K141" s="602"/>
      <c r="L141" s="636"/>
      <c r="M141" s="586"/>
      <c r="N141" s="586"/>
      <c r="O141" s="586"/>
      <c r="P141" s="486"/>
      <c r="Q141" s="601"/>
      <c r="R141" s="486"/>
      <c r="S141" s="602"/>
      <c r="T141" s="636"/>
      <c r="U141" s="586"/>
      <c r="V141" s="586"/>
      <c r="W141" s="586"/>
      <c r="X141" s="486"/>
      <c r="Y141" s="601"/>
      <c r="Z141" s="486"/>
      <c r="AA141" s="602"/>
      <c r="AB141" s="636"/>
      <c r="AC141" s="586"/>
      <c r="AD141" s="586"/>
      <c r="AE141" s="586"/>
      <c r="AF141" s="486"/>
      <c r="AG141" s="601"/>
      <c r="AH141" s="486"/>
      <c r="AI141" s="602"/>
      <c r="AJ141" s="636"/>
      <c r="AK141" s="586"/>
      <c r="AL141" s="586"/>
      <c r="AM141" s="586"/>
      <c r="AN141" s="486"/>
      <c r="AO141" s="601"/>
      <c r="AP141" s="486"/>
      <c r="AQ141" s="602"/>
      <c r="AR141" s="636"/>
      <c r="AS141" s="586"/>
      <c r="AT141" s="586"/>
      <c r="AU141" s="586"/>
      <c r="AV141" s="486"/>
      <c r="AW141" s="601"/>
      <c r="AX141" s="486"/>
      <c r="AY141" s="602"/>
      <c r="AZ141" s="636"/>
      <c r="BA141" s="586"/>
      <c r="BB141" s="586"/>
      <c r="BC141" s="586"/>
      <c r="BD141" s="486"/>
      <c r="BE141" s="601"/>
      <c r="BF141" s="486"/>
      <c r="BG141" s="602"/>
      <c r="BH141" s="636"/>
      <c r="BI141" s="586"/>
      <c r="BJ141" s="586"/>
      <c r="BK141" s="586"/>
      <c r="BL141" s="486"/>
      <c r="BM141" s="601"/>
      <c r="BN141" s="486"/>
      <c r="BO141" s="602"/>
      <c r="BP141" s="636"/>
      <c r="BQ141" s="586"/>
      <c r="BR141" s="586"/>
      <c r="BS141" s="586"/>
      <c r="BT141" s="486"/>
      <c r="BU141" s="601"/>
      <c r="BV141" s="486"/>
      <c r="BW141" s="602"/>
      <c r="BX141" s="636"/>
      <c r="BY141" s="586"/>
      <c r="BZ141" s="586"/>
      <c r="CA141" s="586"/>
      <c r="CB141" s="486"/>
      <c r="CC141" s="601"/>
      <c r="CD141" s="486"/>
      <c r="CE141" s="602"/>
      <c r="CF141" s="636"/>
      <c r="CG141" s="586"/>
      <c r="CH141" s="586"/>
      <c r="CI141" s="586"/>
      <c r="CJ141" s="486"/>
      <c r="CK141" s="601"/>
      <c r="CL141" s="486"/>
      <c r="CM141" s="602"/>
      <c r="CN141" s="636"/>
      <c r="CO141" s="586"/>
      <c r="CP141" s="586"/>
      <c r="CQ141" s="586"/>
      <c r="CR141" s="486"/>
      <c r="CS141" s="601"/>
      <c r="CT141" s="486"/>
      <c r="CU141" s="602"/>
      <c r="CV141" s="636"/>
      <c r="CW141" s="586"/>
      <c r="CX141" s="586"/>
      <c r="CY141" s="586"/>
      <c r="CZ141" s="486"/>
      <c r="DA141" s="601"/>
      <c r="DB141" s="486"/>
      <c r="DC141" s="602"/>
      <c r="DD141" s="636"/>
      <c r="DE141" s="586"/>
      <c r="DF141" s="586"/>
      <c r="DG141" s="586"/>
      <c r="DH141" s="486"/>
      <c r="DI141" s="601"/>
      <c r="DJ141" s="486"/>
      <c r="DK141" s="602"/>
      <c r="DL141" s="636"/>
      <c r="DM141" s="586"/>
      <c r="DN141" s="586"/>
      <c r="DO141" s="586"/>
      <c r="DP141" s="486"/>
      <c r="DQ141" s="601"/>
      <c r="DR141" s="486"/>
      <c r="DS141" s="602"/>
      <c r="DT141" s="636"/>
      <c r="DU141" s="586"/>
      <c r="DV141" s="586"/>
      <c r="DW141" s="586"/>
      <c r="DX141" s="486"/>
      <c r="DY141" s="601"/>
      <c r="DZ141" s="486"/>
      <c r="EA141" s="602"/>
      <c r="EB141" s="636"/>
      <c r="EC141" s="586"/>
      <c r="ED141" s="586"/>
      <c r="EE141" s="586"/>
      <c r="EF141" s="486"/>
      <c r="EG141" s="601"/>
      <c r="EH141" s="486"/>
      <c r="EI141" s="602"/>
      <c r="EJ141" s="636"/>
      <c r="EK141" s="586"/>
      <c r="EL141" s="586"/>
      <c r="EM141" s="586"/>
      <c r="EN141" s="486"/>
      <c r="EO141" s="601"/>
      <c r="EP141" s="486"/>
      <c r="EQ141" s="602"/>
      <c r="ER141" s="636"/>
      <c r="ES141" s="586"/>
      <c r="ET141" s="586"/>
      <c r="EU141" s="586"/>
      <c r="EV141" s="486"/>
      <c r="EW141" s="601"/>
      <c r="EX141" s="486"/>
      <c r="EY141" s="602"/>
      <c r="EZ141" s="636"/>
      <c r="FA141" s="586"/>
      <c r="FB141" s="586"/>
      <c r="FC141" s="586"/>
      <c r="FD141" s="486"/>
      <c r="FE141" s="601"/>
      <c r="FF141" s="486"/>
      <c r="FG141" s="602"/>
      <c r="FH141" s="636"/>
      <c r="FI141" s="586"/>
      <c r="FJ141" s="586"/>
      <c r="FK141" s="586"/>
      <c r="FL141" s="486"/>
      <c r="FM141" s="601"/>
      <c r="FN141" s="486"/>
      <c r="FO141" s="602"/>
      <c r="FP141" s="636"/>
      <c r="FQ141" s="586"/>
      <c r="FR141" s="586"/>
      <c r="FS141" s="586"/>
      <c r="FT141" s="486"/>
      <c r="FU141" s="601"/>
      <c r="FV141" s="486"/>
      <c r="FW141" s="602"/>
      <c r="FX141" s="636"/>
      <c r="FY141" s="586"/>
      <c r="FZ141" s="586"/>
      <c r="GA141" s="586"/>
      <c r="GB141" s="486"/>
      <c r="GC141" s="601"/>
      <c r="GD141" s="486"/>
      <c r="GE141" s="602"/>
      <c r="GF141" s="636"/>
      <c r="GG141" s="586"/>
      <c r="GH141" s="586"/>
      <c r="GI141" s="586"/>
      <c r="GJ141" s="486"/>
      <c r="GK141" s="601"/>
      <c r="GL141" s="486"/>
      <c r="GM141" s="602"/>
      <c r="GN141" s="636"/>
      <c r="GO141" s="586"/>
      <c r="GP141" s="586"/>
      <c r="GQ141" s="586"/>
      <c r="GR141" s="486"/>
      <c r="GS141" s="601"/>
      <c r="GT141" s="486"/>
      <c r="GU141" s="602"/>
      <c r="GV141" s="636"/>
      <c r="GW141" s="586"/>
      <c r="GX141" s="586"/>
      <c r="GY141" s="586"/>
      <c r="GZ141" s="486"/>
      <c r="HA141" s="601"/>
      <c r="HB141" s="486"/>
      <c r="HC141" s="602"/>
      <c r="HD141" s="636"/>
      <c r="HE141" s="586"/>
      <c r="HF141" s="586"/>
      <c r="HG141" s="586"/>
      <c r="HH141" s="486"/>
      <c r="HI141" s="601"/>
      <c r="HJ141" s="486"/>
      <c r="HK141" s="602"/>
      <c r="HL141" s="636"/>
      <c r="HM141" s="586"/>
      <c r="HN141" s="586"/>
      <c r="HO141" s="586"/>
      <c r="HP141" s="486"/>
      <c r="HQ141" s="601"/>
      <c r="HR141" s="486"/>
      <c r="HS141" s="602"/>
      <c r="HT141" s="636"/>
      <c r="HU141" s="586"/>
      <c r="HV141" s="586"/>
      <c r="HW141" s="586"/>
      <c r="HX141" s="486"/>
      <c r="HY141" s="601"/>
      <c r="HZ141" s="486"/>
      <c r="IA141" s="602"/>
      <c r="IB141" s="636"/>
      <c r="IC141" s="586"/>
      <c r="ID141" s="586"/>
      <c r="IE141" s="586"/>
      <c r="IF141" s="486"/>
      <c r="IG141" s="601"/>
      <c r="IH141" s="486"/>
      <c r="II141" s="602"/>
      <c r="IJ141" s="636"/>
      <c r="IK141" s="586"/>
      <c r="IL141" s="586"/>
      <c r="IM141" s="586"/>
      <c r="IN141" s="486"/>
      <c r="IO141" s="601"/>
      <c r="IP141" s="486"/>
    </row>
    <row r="142" spans="1:250" s="244" customFormat="1" ht="14.1" customHeight="1">
      <c r="A142" s="306" t="s">
        <v>80</v>
      </c>
      <c r="B142" s="596">
        <v>47.396999999999998</v>
      </c>
      <c r="C142" s="1278">
        <v>63.601999999999997</v>
      </c>
      <c r="D142" s="1279"/>
      <c r="E142" s="640">
        <v>245.71899999999999</v>
      </c>
      <c r="F142" s="604"/>
      <c r="G142" s="641">
        <v>1217.713</v>
      </c>
      <c r="H142" s="639"/>
      <c r="I142" s="606">
        <v>1574.431</v>
      </c>
      <c r="J142" s="486"/>
      <c r="K142" s="602"/>
      <c r="L142" s="636"/>
      <c r="M142" s="608"/>
      <c r="N142" s="608"/>
      <c r="O142" s="608"/>
      <c r="P142" s="486"/>
      <c r="Q142" s="601"/>
      <c r="R142" s="486"/>
      <c r="S142" s="602"/>
      <c r="T142" s="636"/>
      <c r="U142" s="608"/>
      <c r="V142" s="608"/>
      <c r="W142" s="608"/>
      <c r="X142" s="486"/>
      <c r="Y142" s="601"/>
      <c r="Z142" s="486"/>
      <c r="AA142" s="602"/>
      <c r="AB142" s="636"/>
      <c r="AC142" s="608"/>
      <c r="AD142" s="608"/>
      <c r="AE142" s="608"/>
      <c r="AF142" s="486"/>
      <c r="AG142" s="601"/>
      <c r="AH142" s="486"/>
      <c r="AI142" s="602"/>
      <c r="AJ142" s="636"/>
      <c r="AK142" s="608"/>
      <c r="AL142" s="608"/>
      <c r="AM142" s="608"/>
      <c r="AN142" s="486"/>
      <c r="AO142" s="601"/>
      <c r="AP142" s="486"/>
      <c r="AQ142" s="602"/>
      <c r="AR142" s="636"/>
      <c r="AS142" s="608"/>
      <c r="AT142" s="608"/>
      <c r="AU142" s="608"/>
      <c r="AV142" s="486"/>
      <c r="AW142" s="601"/>
      <c r="AX142" s="486"/>
      <c r="AY142" s="602"/>
      <c r="AZ142" s="636"/>
      <c r="BA142" s="608"/>
      <c r="BB142" s="608"/>
      <c r="BC142" s="608"/>
      <c r="BD142" s="486"/>
      <c r="BE142" s="601"/>
      <c r="BF142" s="486"/>
      <c r="BG142" s="602"/>
      <c r="BH142" s="636"/>
      <c r="BI142" s="608"/>
      <c r="BJ142" s="608"/>
      <c r="BK142" s="608"/>
      <c r="BL142" s="486"/>
      <c r="BM142" s="601"/>
      <c r="BN142" s="486"/>
      <c r="BO142" s="602"/>
      <c r="BP142" s="636"/>
      <c r="BQ142" s="608"/>
      <c r="BR142" s="608"/>
      <c r="BS142" s="608"/>
      <c r="BT142" s="486"/>
      <c r="BU142" s="601"/>
      <c r="BV142" s="486"/>
      <c r="BW142" s="602"/>
      <c r="BX142" s="636"/>
      <c r="BY142" s="608"/>
      <c r="BZ142" s="608"/>
      <c r="CA142" s="608"/>
      <c r="CB142" s="486"/>
      <c r="CC142" s="601"/>
      <c r="CD142" s="486"/>
      <c r="CE142" s="602"/>
      <c r="CF142" s="636"/>
      <c r="CG142" s="608"/>
      <c r="CH142" s="608"/>
      <c r="CI142" s="608"/>
      <c r="CJ142" s="486"/>
      <c r="CK142" s="601"/>
      <c r="CL142" s="486"/>
      <c r="CM142" s="602"/>
      <c r="CN142" s="636"/>
      <c r="CO142" s="608"/>
      <c r="CP142" s="608"/>
      <c r="CQ142" s="608"/>
      <c r="CR142" s="486"/>
      <c r="CS142" s="601"/>
      <c r="CT142" s="486"/>
      <c r="CU142" s="602"/>
      <c r="CV142" s="636"/>
      <c r="CW142" s="608"/>
      <c r="CX142" s="608"/>
      <c r="CY142" s="608"/>
      <c r="CZ142" s="486"/>
      <c r="DA142" s="601"/>
      <c r="DB142" s="486"/>
      <c r="DC142" s="602"/>
      <c r="DD142" s="636"/>
      <c r="DE142" s="608"/>
      <c r="DF142" s="608"/>
      <c r="DG142" s="608"/>
      <c r="DH142" s="486"/>
      <c r="DI142" s="601"/>
      <c r="DJ142" s="486"/>
      <c r="DK142" s="602"/>
      <c r="DL142" s="636"/>
      <c r="DM142" s="608"/>
      <c r="DN142" s="608"/>
      <c r="DO142" s="608"/>
      <c r="DP142" s="486"/>
      <c r="DQ142" s="601"/>
      <c r="DR142" s="486"/>
      <c r="DS142" s="602"/>
      <c r="DT142" s="636"/>
      <c r="DU142" s="608"/>
      <c r="DV142" s="608"/>
      <c r="DW142" s="608"/>
      <c r="DX142" s="486"/>
      <c r="DY142" s="601"/>
      <c r="DZ142" s="486"/>
      <c r="EA142" s="602"/>
      <c r="EB142" s="636"/>
      <c r="EC142" s="608"/>
      <c r="ED142" s="608"/>
      <c r="EE142" s="608"/>
      <c r="EF142" s="486"/>
      <c r="EG142" s="601"/>
      <c r="EH142" s="486"/>
      <c r="EI142" s="602"/>
      <c r="EJ142" s="636"/>
      <c r="EK142" s="608"/>
      <c r="EL142" s="608"/>
      <c r="EM142" s="608"/>
      <c r="EN142" s="486"/>
      <c r="EO142" s="601"/>
      <c r="EP142" s="486"/>
      <c r="EQ142" s="602"/>
      <c r="ER142" s="636"/>
      <c r="ES142" s="608"/>
      <c r="ET142" s="608"/>
      <c r="EU142" s="608"/>
      <c r="EV142" s="486"/>
      <c r="EW142" s="601"/>
      <c r="EX142" s="486"/>
      <c r="EY142" s="602"/>
      <c r="EZ142" s="636"/>
      <c r="FA142" s="608"/>
      <c r="FB142" s="608"/>
      <c r="FC142" s="608"/>
      <c r="FD142" s="486"/>
      <c r="FE142" s="601"/>
      <c r="FF142" s="486"/>
      <c r="FG142" s="602"/>
      <c r="FH142" s="636"/>
      <c r="FI142" s="608"/>
      <c r="FJ142" s="608"/>
      <c r="FK142" s="608"/>
      <c r="FL142" s="486"/>
      <c r="FM142" s="601"/>
      <c r="FN142" s="486"/>
      <c r="FO142" s="602"/>
      <c r="FP142" s="636"/>
      <c r="FQ142" s="608"/>
      <c r="FR142" s="608"/>
      <c r="FS142" s="608"/>
      <c r="FT142" s="486"/>
      <c r="FU142" s="601"/>
      <c r="FV142" s="486"/>
      <c r="FW142" s="602"/>
      <c r="FX142" s="636"/>
      <c r="FY142" s="608"/>
      <c r="FZ142" s="608"/>
      <c r="GA142" s="608"/>
      <c r="GB142" s="486"/>
      <c r="GC142" s="601"/>
      <c r="GD142" s="486"/>
      <c r="GE142" s="602"/>
      <c r="GF142" s="636"/>
      <c r="GG142" s="608"/>
      <c r="GH142" s="608"/>
      <c r="GI142" s="608"/>
      <c r="GJ142" s="486"/>
      <c r="GK142" s="601"/>
      <c r="GL142" s="486"/>
      <c r="GM142" s="602"/>
      <c r="GN142" s="636"/>
      <c r="GO142" s="608"/>
      <c r="GP142" s="608"/>
      <c r="GQ142" s="608"/>
      <c r="GR142" s="486"/>
      <c r="GS142" s="601"/>
      <c r="GT142" s="486"/>
      <c r="GU142" s="602"/>
      <c r="GV142" s="636"/>
      <c r="GW142" s="608"/>
      <c r="GX142" s="608"/>
      <c r="GY142" s="608"/>
      <c r="GZ142" s="486"/>
      <c r="HA142" s="601"/>
      <c r="HB142" s="486"/>
      <c r="HC142" s="602"/>
      <c r="HD142" s="636"/>
      <c r="HE142" s="608"/>
      <c r="HF142" s="608"/>
      <c r="HG142" s="608"/>
      <c r="HH142" s="486"/>
      <c r="HI142" s="601"/>
      <c r="HJ142" s="486"/>
      <c r="HK142" s="602"/>
      <c r="HL142" s="636"/>
      <c r="HM142" s="608"/>
      <c r="HN142" s="608"/>
      <c r="HO142" s="608"/>
      <c r="HP142" s="486"/>
      <c r="HQ142" s="601"/>
      <c r="HR142" s="486"/>
      <c r="HS142" s="602"/>
      <c r="HT142" s="636"/>
      <c r="HU142" s="608"/>
      <c r="HV142" s="608"/>
      <c r="HW142" s="608"/>
      <c r="HX142" s="486"/>
      <c r="HY142" s="601"/>
      <c r="HZ142" s="486"/>
      <c r="IA142" s="602"/>
      <c r="IB142" s="636"/>
      <c r="IC142" s="608"/>
      <c r="ID142" s="608"/>
      <c r="IE142" s="608"/>
      <c r="IF142" s="486"/>
      <c r="IG142" s="601"/>
      <c r="IH142" s="486"/>
      <c r="II142" s="602"/>
      <c r="IJ142" s="636"/>
      <c r="IK142" s="608"/>
      <c r="IL142" s="608"/>
      <c r="IM142" s="608"/>
      <c r="IN142" s="486"/>
      <c r="IO142" s="601"/>
      <c r="IP142" s="486"/>
    </row>
    <row r="143" spans="1:250" s="244" customFormat="1" ht="14.1" customHeight="1">
      <c r="A143" s="306" t="s">
        <v>81</v>
      </c>
      <c r="B143" s="596">
        <v>40.784999999999997</v>
      </c>
      <c r="C143" s="1280">
        <f>28.611+27.459</f>
        <v>56.07</v>
      </c>
      <c r="D143" s="1280"/>
      <c r="E143" s="1281">
        <f>103.437+124.856+1369.593-125.885</f>
        <v>1472.001</v>
      </c>
      <c r="F143" s="1282"/>
      <c r="G143" s="1282"/>
      <c r="H143" s="1283"/>
      <c r="I143" s="606">
        <f>SUM(B143:H143)</f>
        <v>1568.856</v>
      </c>
      <c r="J143" s="486"/>
      <c r="K143" s="602"/>
      <c r="L143" s="636"/>
      <c r="M143" s="608"/>
      <c r="N143" s="608"/>
      <c r="O143" s="608"/>
      <c r="P143" s="486"/>
      <c r="Q143" s="601"/>
      <c r="R143" s="486"/>
      <c r="S143" s="602"/>
      <c r="T143" s="636"/>
      <c r="U143" s="608"/>
      <c r="V143" s="608"/>
      <c r="W143" s="608"/>
      <c r="X143" s="486"/>
      <c r="Y143" s="601"/>
      <c r="Z143" s="486"/>
      <c r="AA143" s="602"/>
      <c r="AB143" s="636"/>
      <c r="AC143" s="608"/>
      <c r="AD143" s="608"/>
      <c r="AE143" s="608"/>
      <c r="AF143" s="486"/>
      <c r="AG143" s="601"/>
      <c r="AH143" s="486"/>
      <c r="AI143" s="602"/>
      <c r="AJ143" s="636"/>
      <c r="AK143" s="608"/>
      <c r="AL143" s="608"/>
      <c r="AM143" s="608"/>
      <c r="AN143" s="486"/>
      <c r="AO143" s="601"/>
      <c r="AP143" s="486"/>
      <c r="AQ143" s="602"/>
      <c r="AR143" s="636"/>
      <c r="AS143" s="608"/>
      <c r="AT143" s="608"/>
      <c r="AU143" s="608"/>
      <c r="AV143" s="486"/>
      <c r="AW143" s="601"/>
      <c r="AX143" s="486"/>
      <c r="AY143" s="602"/>
      <c r="AZ143" s="636"/>
      <c r="BA143" s="608"/>
      <c r="BB143" s="608"/>
      <c r="BC143" s="608"/>
      <c r="BD143" s="486"/>
      <c r="BE143" s="601"/>
      <c r="BF143" s="486"/>
      <c r="BG143" s="602"/>
      <c r="BH143" s="636"/>
      <c r="BI143" s="608"/>
      <c r="BJ143" s="608"/>
      <c r="BK143" s="608"/>
      <c r="BL143" s="486"/>
      <c r="BM143" s="601"/>
      <c r="BN143" s="486"/>
      <c r="BO143" s="602"/>
      <c r="BP143" s="636"/>
      <c r="BQ143" s="608"/>
      <c r="BR143" s="608"/>
      <c r="BS143" s="608"/>
      <c r="BT143" s="486"/>
      <c r="BU143" s="601"/>
      <c r="BV143" s="486"/>
      <c r="BW143" s="602"/>
      <c r="BX143" s="636"/>
      <c r="BY143" s="608"/>
      <c r="BZ143" s="608"/>
      <c r="CA143" s="608"/>
      <c r="CB143" s="486"/>
      <c r="CC143" s="601"/>
      <c r="CD143" s="486"/>
      <c r="CE143" s="602"/>
      <c r="CF143" s="636"/>
      <c r="CG143" s="608"/>
      <c r="CH143" s="608"/>
      <c r="CI143" s="608"/>
      <c r="CJ143" s="486"/>
      <c r="CK143" s="601"/>
      <c r="CL143" s="486"/>
      <c r="CM143" s="602"/>
      <c r="CN143" s="636"/>
      <c r="CO143" s="608"/>
      <c r="CP143" s="608"/>
      <c r="CQ143" s="608"/>
      <c r="CR143" s="486"/>
      <c r="CS143" s="601"/>
      <c r="CT143" s="486"/>
      <c r="CU143" s="602"/>
      <c r="CV143" s="636"/>
      <c r="CW143" s="608"/>
      <c r="CX143" s="608"/>
      <c r="CY143" s="608"/>
      <c r="CZ143" s="486"/>
      <c r="DA143" s="601"/>
      <c r="DB143" s="486"/>
      <c r="DC143" s="602"/>
      <c r="DD143" s="636"/>
      <c r="DE143" s="608"/>
      <c r="DF143" s="608"/>
      <c r="DG143" s="608"/>
      <c r="DH143" s="486"/>
      <c r="DI143" s="601"/>
      <c r="DJ143" s="486"/>
      <c r="DK143" s="602"/>
      <c r="DL143" s="636"/>
      <c r="DM143" s="608"/>
      <c r="DN143" s="608"/>
      <c r="DO143" s="608"/>
      <c r="DP143" s="486"/>
      <c r="DQ143" s="601"/>
      <c r="DR143" s="486"/>
      <c r="DS143" s="602"/>
      <c r="DT143" s="636"/>
      <c r="DU143" s="608"/>
      <c r="DV143" s="608"/>
      <c r="DW143" s="608"/>
      <c r="DX143" s="486"/>
      <c r="DY143" s="601"/>
      <c r="DZ143" s="486"/>
      <c r="EA143" s="602"/>
      <c r="EB143" s="636"/>
      <c r="EC143" s="608"/>
      <c r="ED143" s="608"/>
      <c r="EE143" s="608"/>
      <c r="EF143" s="486"/>
      <c r="EG143" s="601"/>
      <c r="EH143" s="486"/>
      <c r="EI143" s="602"/>
      <c r="EJ143" s="636"/>
      <c r="EK143" s="608"/>
      <c r="EL143" s="608"/>
      <c r="EM143" s="608"/>
      <c r="EN143" s="486"/>
      <c r="EO143" s="601"/>
      <c r="EP143" s="486"/>
      <c r="EQ143" s="602"/>
      <c r="ER143" s="636"/>
      <c r="ES143" s="608"/>
      <c r="ET143" s="608"/>
      <c r="EU143" s="608"/>
      <c r="EV143" s="486"/>
      <c r="EW143" s="601"/>
      <c r="EX143" s="486"/>
      <c r="EY143" s="602"/>
      <c r="EZ143" s="636"/>
      <c r="FA143" s="608"/>
      <c r="FB143" s="608"/>
      <c r="FC143" s="608"/>
      <c r="FD143" s="486"/>
      <c r="FE143" s="601"/>
      <c r="FF143" s="486"/>
      <c r="FG143" s="602"/>
      <c r="FH143" s="636"/>
      <c r="FI143" s="608"/>
      <c r="FJ143" s="608"/>
      <c r="FK143" s="608"/>
      <c r="FL143" s="486"/>
      <c r="FM143" s="601"/>
      <c r="FN143" s="486"/>
      <c r="FO143" s="602"/>
      <c r="FP143" s="636"/>
      <c r="FQ143" s="608"/>
      <c r="FR143" s="608"/>
      <c r="FS143" s="608"/>
      <c r="FT143" s="486"/>
      <c r="FU143" s="601"/>
      <c r="FV143" s="486"/>
      <c r="FW143" s="602"/>
      <c r="FX143" s="636"/>
      <c r="FY143" s="608"/>
      <c r="FZ143" s="608"/>
      <c r="GA143" s="608"/>
      <c r="GB143" s="486"/>
      <c r="GC143" s="601"/>
      <c r="GD143" s="486"/>
      <c r="GE143" s="602"/>
      <c r="GF143" s="636"/>
      <c r="GG143" s="608"/>
      <c r="GH143" s="608"/>
      <c r="GI143" s="608"/>
      <c r="GJ143" s="486"/>
      <c r="GK143" s="601"/>
      <c r="GL143" s="486"/>
      <c r="GM143" s="602"/>
      <c r="GN143" s="636"/>
      <c r="GO143" s="608"/>
      <c r="GP143" s="608"/>
      <c r="GQ143" s="608"/>
      <c r="GR143" s="486"/>
      <c r="GS143" s="601"/>
      <c r="GT143" s="486"/>
      <c r="GU143" s="602"/>
      <c r="GV143" s="636"/>
      <c r="GW143" s="608"/>
      <c r="GX143" s="608"/>
      <c r="GY143" s="608"/>
      <c r="GZ143" s="486"/>
      <c r="HA143" s="601"/>
      <c r="HB143" s="486"/>
      <c r="HC143" s="602"/>
      <c r="HD143" s="636"/>
      <c r="HE143" s="608"/>
      <c r="HF143" s="608"/>
      <c r="HG143" s="608"/>
      <c r="HH143" s="486"/>
      <c r="HI143" s="601"/>
      <c r="HJ143" s="486"/>
      <c r="HK143" s="602"/>
      <c r="HL143" s="636"/>
      <c r="HM143" s="608"/>
      <c r="HN143" s="608"/>
      <c r="HO143" s="608"/>
      <c r="HP143" s="486"/>
      <c r="HQ143" s="601"/>
      <c r="HR143" s="486"/>
      <c r="HS143" s="602"/>
      <c r="HT143" s="636"/>
      <c r="HU143" s="608"/>
      <c r="HV143" s="608"/>
      <c r="HW143" s="608"/>
      <c r="HX143" s="486"/>
      <c r="HY143" s="601"/>
      <c r="HZ143" s="486"/>
      <c r="IA143" s="602"/>
      <c r="IB143" s="636"/>
      <c r="IC143" s="608"/>
      <c r="ID143" s="608"/>
      <c r="IE143" s="608"/>
      <c r="IF143" s="486"/>
      <c r="IG143" s="601"/>
      <c r="IH143" s="486"/>
      <c r="II143" s="602"/>
      <c r="IJ143" s="636"/>
      <c r="IK143" s="608"/>
      <c r="IL143" s="608"/>
      <c r="IM143" s="608"/>
      <c r="IN143" s="486"/>
      <c r="IO143" s="601"/>
      <c r="IP143" s="486"/>
    </row>
    <row r="144" spans="1:250" s="244" customFormat="1" ht="14.1" customHeight="1">
      <c r="A144" s="306" t="s">
        <v>82</v>
      </c>
      <c r="B144" s="596">
        <v>31.95</v>
      </c>
      <c r="C144" s="611">
        <v>66.26400000000001</v>
      </c>
      <c r="D144" s="611"/>
      <c r="E144" s="605">
        <v>1410.6039999999998</v>
      </c>
      <c r="F144" s="603"/>
      <c r="G144" s="603"/>
      <c r="H144" s="603"/>
      <c r="I144" s="606">
        <v>1508.8179999999998</v>
      </c>
      <c r="J144" s="486"/>
      <c r="K144" s="602"/>
      <c r="L144" s="636"/>
      <c r="M144" s="608"/>
      <c r="N144" s="608"/>
      <c r="O144" s="608"/>
      <c r="P144" s="486"/>
      <c r="Q144" s="601"/>
      <c r="R144" s="486"/>
      <c r="S144" s="602"/>
      <c r="T144" s="636"/>
      <c r="U144" s="608"/>
      <c r="V144" s="608"/>
      <c r="W144" s="608"/>
      <c r="X144" s="486"/>
      <c r="Y144" s="601"/>
      <c r="Z144" s="486"/>
      <c r="AA144" s="602"/>
      <c r="AB144" s="636"/>
      <c r="AC144" s="608"/>
      <c r="AD144" s="608"/>
      <c r="AE144" s="608"/>
      <c r="AF144" s="486"/>
      <c r="AG144" s="601"/>
      <c r="AH144" s="486"/>
      <c r="AI144" s="602"/>
      <c r="AJ144" s="636"/>
      <c r="AK144" s="608"/>
      <c r="AL144" s="608"/>
      <c r="AM144" s="608"/>
      <c r="AN144" s="486"/>
      <c r="AO144" s="601"/>
      <c r="AP144" s="486"/>
      <c r="AQ144" s="602"/>
      <c r="AR144" s="636"/>
      <c r="AS144" s="608"/>
      <c r="AT144" s="608"/>
      <c r="AU144" s="608"/>
      <c r="AV144" s="486"/>
      <c r="AW144" s="601"/>
      <c r="AX144" s="486"/>
      <c r="AY144" s="602"/>
      <c r="AZ144" s="636"/>
      <c r="BA144" s="608"/>
      <c r="BB144" s="608"/>
      <c r="BC144" s="608"/>
      <c r="BD144" s="486"/>
      <c r="BE144" s="601"/>
      <c r="BF144" s="486"/>
      <c r="BG144" s="602"/>
      <c r="BH144" s="636"/>
      <c r="BI144" s="608"/>
      <c r="BJ144" s="608"/>
      <c r="BK144" s="608"/>
      <c r="BL144" s="486"/>
      <c r="BM144" s="601"/>
      <c r="BN144" s="486"/>
      <c r="BO144" s="602"/>
      <c r="BP144" s="636"/>
      <c r="BQ144" s="608"/>
      <c r="BR144" s="608"/>
      <c r="BS144" s="608"/>
      <c r="BT144" s="486"/>
      <c r="BU144" s="601"/>
      <c r="BV144" s="486"/>
      <c r="BW144" s="602"/>
      <c r="BX144" s="636"/>
      <c r="BY144" s="608"/>
      <c r="BZ144" s="608"/>
      <c r="CA144" s="608"/>
      <c r="CB144" s="486"/>
      <c r="CC144" s="601"/>
      <c r="CD144" s="486"/>
      <c r="CE144" s="602"/>
      <c r="CF144" s="636"/>
      <c r="CG144" s="608"/>
      <c r="CH144" s="608"/>
      <c r="CI144" s="608"/>
      <c r="CJ144" s="486"/>
      <c r="CK144" s="601"/>
      <c r="CL144" s="486"/>
      <c r="CM144" s="602"/>
      <c r="CN144" s="636"/>
      <c r="CO144" s="608"/>
      <c r="CP144" s="608"/>
      <c r="CQ144" s="608"/>
      <c r="CR144" s="486"/>
      <c r="CS144" s="601"/>
      <c r="CT144" s="486"/>
      <c r="CU144" s="602"/>
      <c r="CV144" s="636"/>
      <c r="CW144" s="608"/>
      <c r="CX144" s="608"/>
      <c r="CY144" s="608"/>
      <c r="CZ144" s="486"/>
      <c r="DA144" s="601"/>
      <c r="DB144" s="486"/>
      <c r="DC144" s="602"/>
      <c r="DD144" s="636"/>
      <c r="DE144" s="608"/>
      <c r="DF144" s="608"/>
      <c r="DG144" s="608"/>
      <c r="DH144" s="486"/>
      <c r="DI144" s="601"/>
      <c r="DJ144" s="486"/>
      <c r="DK144" s="602"/>
      <c r="DL144" s="636"/>
      <c r="DM144" s="608"/>
      <c r="DN144" s="608"/>
      <c r="DO144" s="608"/>
      <c r="DP144" s="486"/>
      <c r="DQ144" s="601"/>
      <c r="DR144" s="486"/>
      <c r="DS144" s="602"/>
      <c r="DT144" s="636"/>
      <c r="DU144" s="608"/>
      <c r="DV144" s="608"/>
      <c r="DW144" s="608"/>
      <c r="DX144" s="486"/>
      <c r="DY144" s="601"/>
      <c r="DZ144" s="486"/>
      <c r="EA144" s="602"/>
      <c r="EB144" s="636"/>
      <c r="EC144" s="608"/>
      <c r="ED144" s="608"/>
      <c r="EE144" s="608"/>
      <c r="EF144" s="486"/>
      <c r="EG144" s="601"/>
      <c r="EH144" s="486"/>
      <c r="EI144" s="602"/>
      <c r="EJ144" s="636"/>
      <c r="EK144" s="608"/>
      <c r="EL144" s="608"/>
      <c r="EM144" s="608"/>
      <c r="EN144" s="486"/>
      <c r="EO144" s="601"/>
      <c r="EP144" s="486"/>
      <c r="EQ144" s="602"/>
      <c r="ER144" s="636"/>
      <c r="ES144" s="608"/>
      <c r="ET144" s="608"/>
      <c r="EU144" s="608"/>
      <c r="EV144" s="486"/>
      <c r="EW144" s="601"/>
      <c r="EX144" s="486"/>
      <c r="EY144" s="602"/>
      <c r="EZ144" s="636"/>
      <c r="FA144" s="608"/>
      <c r="FB144" s="608"/>
      <c r="FC144" s="608"/>
      <c r="FD144" s="486"/>
      <c r="FE144" s="601"/>
      <c r="FF144" s="486"/>
      <c r="FG144" s="602"/>
      <c r="FH144" s="636"/>
      <c r="FI144" s="608"/>
      <c r="FJ144" s="608"/>
      <c r="FK144" s="608"/>
      <c r="FL144" s="486"/>
      <c r="FM144" s="601"/>
      <c r="FN144" s="486"/>
      <c r="FO144" s="602"/>
      <c r="FP144" s="636"/>
      <c r="FQ144" s="608"/>
      <c r="FR144" s="608"/>
      <c r="FS144" s="608"/>
      <c r="FT144" s="486"/>
      <c r="FU144" s="601"/>
      <c r="FV144" s="486"/>
      <c r="FW144" s="602"/>
      <c r="FX144" s="636"/>
      <c r="FY144" s="608"/>
      <c r="FZ144" s="608"/>
      <c r="GA144" s="608"/>
      <c r="GB144" s="486"/>
      <c r="GC144" s="601"/>
      <c r="GD144" s="486"/>
      <c r="GE144" s="602"/>
      <c r="GF144" s="636"/>
      <c r="GG144" s="608"/>
      <c r="GH144" s="608"/>
      <c r="GI144" s="608"/>
      <c r="GJ144" s="486"/>
      <c r="GK144" s="601"/>
      <c r="GL144" s="486"/>
      <c r="GM144" s="602"/>
      <c r="GN144" s="636"/>
      <c r="GO144" s="608"/>
      <c r="GP144" s="608"/>
      <c r="GQ144" s="608"/>
      <c r="GR144" s="486"/>
      <c r="GS144" s="601"/>
      <c r="GT144" s="486"/>
      <c r="GU144" s="602"/>
      <c r="GV144" s="636"/>
      <c r="GW144" s="608"/>
      <c r="GX144" s="608"/>
      <c r="GY144" s="608"/>
      <c r="GZ144" s="486"/>
      <c r="HA144" s="601"/>
      <c r="HB144" s="486"/>
      <c r="HC144" s="602"/>
      <c r="HD144" s="636"/>
      <c r="HE144" s="608"/>
      <c r="HF144" s="608"/>
      <c r="HG144" s="608"/>
      <c r="HH144" s="486"/>
      <c r="HI144" s="601"/>
      <c r="HJ144" s="486"/>
      <c r="HK144" s="602"/>
      <c r="HL144" s="636"/>
      <c r="HM144" s="608"/>
      <c r="HN144" s="608"/>
      <c r="HO144" s="608"/>
      <c r="HP144" s="486"/>
      <c r="HQ144" s="601"/>
      <c r="HR144" s="486"/>
      <c r="HS144" s="602"/>
      <c r="HT144" s="636"/>
      <c r="HU144" s="608"/>
      <c r="HV144" s="608"/>
      <c r="HW144" s="608"/>
      <c r="HX144" s="486"/>
      <c r="HY144" s="601"/>
      <c r="HZ144" s="486"/>
      <c r="IA144" s="602"/>
      <c r="IB144" s="636"/>
      <c r="IC144" s="608"/>
      <c r="ID144" s="608"/>
      <c r="IE144" s="608"/>
      <c r="IF144" s="486"/>
      <c r="IG144" s="601"/>
      <c r="IH144" s="486"/>
      <c r="II144" s="602"/>
      <c r="IJ144" s="636"/>
      <c r="IK144" s="608"/>
      <c r="IL144" s="608"/>
      <c r="IM144" s="608"/>
      <c r="IN144" s="486"/>
      <c r="IO144" s="601"/>
      <c r="IP144" s="486"/>
    </row>
    <row r="145" spans="1:250" s="244" customFormat="1" ht="14.1" customHeight="1">
      <c r="A145" s="569" t="s">
        <v>267</v>
      </c>
      <c r="B145" s="1284">
        <v>33.731000000000002</v>
      </c>
      <c r="C145" s="1285"/>
      <c r="D145" s="629">
        <v>47.978000000000002</v>
      </c>
      <c r="E145" s="629">
        <v>111.465</v>
      </c>
      <c r="F145" s="1286">
        <v>1377.047</v>
      </c>
      <c r="G145" s="1286"/>
      <c r="H145" s="1285"/>
      <c r="I145" s="614">
        <f>SUM(B145:H145)</f>
        <v>1570.221</v>
      </c>
      <c r="J145" s="486"/>
      <c r="K145" s="602"/>
      <c r="L145" s="636"/>
      <c r="M145" s="608"/>
      <c r="N145" s="608"/>
      <c r="O145" s="608"/>
      <c r="P145" s="486"/>
      <c r="Q145" s="601"/>
      <c r="R145" s="486"/>
      <c r="S145" s="602"/>
      <c r="T145" s="636"/>
      <c r="U145" s="608"/>
      <c r="V145" s="608"/>
      <c r="W145" s="608"/>
      <c r="X145" s="486"/>
      <c r="Y145" s="601"/>
      <c r="Z145" s="486"/>
      <c r="AA145" s="602"/>
      <c r="AB145" s="636"/>
      <c r="AC145" s="608"/>
      <c r="AD145" s="608"/>
      <c r="AE145" s="608"/>
      <c r="AF145" s="486"/>
      <c r="AG145" s="601"/>
      <c r="AH145" s="486"/>
      <c r="AI145" s="602"/>
      <c r="AJ145" s="636"/>
      <c r="AK145" s="608"/>
      <c r="AL145" s="608"/>
      <c r="AM145" s="608"/>
      <c r="AN145" s="486"/>
      <c r="AO145" s="601"/>
      <c r="AP145" s="486"/>
      <c r="AQ145" s="602"/>
      <c r="AR145" s="636"/>
      <c r="AS145" s="608"/>
      <c r="AT145" s="608"/>
      <c r="AU145" s="608"/>
      <c r="AV145" s="486"/>
      <c r="AW145" s="601"/>
      <c r="AX145" s="486"/>
      <c r="AY145" s="602"/>
      <c r="AZ145" s="636"/>
      <c r="BA145" s="608"/>
      <c r="BB145" s="608"/>
      <c r="BC145" s="608"/>
      <c r="BD145" s="486"/>
      <c r="BE145" s="601"/>
      <c r="BF145" s="486"/>
      <c r="BG145" s="602"/>
      <c r="BH145" s="636"/>
      <c r="BI145" s="608"/>
      <c r="BJ145" s="608"/>
      <c r="BK145" s="608"/>
      <c r="BL145" s="486"/>
      <c r="BM145" s="601"/>
      <c r="BN145" s="486"/>
      <c r="BO145" s="602"/>
      <c r="BP145" s="636"/>
      <c r="BQ145" s="608"/>
      <c r="BR145" s="608"/>
      <c r="BS145" s="608"/>
      <c r="BT145" s="486"/>
      <c r="BU145" s="601"/>
      <c r="BV145" s="486"/>
      <c r="BW145" s="602"/>
      <c r="BX145" s="636"/>
      <c r="BY145" s="608"/>
      <c r="BZ145" s="608"/>
      <c r="CA145" s="608"/>
      <c r="CB145" s="486"/>
      <c r="CC145" s="601"/>
      <c r="CD145" s="486"/>
      <c r="CE145" s="602"/>
      <c r="CF145" s="636"/>
      <c r="CG145" s="608"/>
      <c r="CH145" s="608"/>
      <c r="CI145" s="608"/>
      <c r="CJ145" s="486"/>
      <c r="CK145" s="601"/>
      <c r="CL145" s="486"/>
      <c r="CM145" s="602"/>
      <c r="CN145" s="636"/>
      <c r="CO145" s="608"/>
      <c r="CP145" s="608"/>
      <c r="CQ145" s="608"/>
      <c r="CR145" s="486"/>
      <c r="CS145" s="601"/>
      <c r="CT145" s="486"/>
      <c r="CU145" s="602"/>
      <c r="CV145" s="636"/>
      <c r="CW145" s="608"/>
      <c r="CX145" s="608"/>
      <c r="CY145" s="608"/>
      <c r="CZ145" s="486"/>
      <c r="DA145" s="601"/>
      <c r="DB145" s="486"/>
      <c r="DC145" s="602"/>
      <c r="DD145" s="636"/>
      <c r="DE145" s="608"/>
      <c r="DF145" s="608"/>
      <c r="DG145" s="608"/>
      <c r="DH145" s="486"/>
      <c r="DI145" s="601"/>
      <c r="DJ145" s="486"/>
      <c r="DK145" s="602"/>
      <c r="DL145" s="636"/>
      <c r="DM145" s="608"/>
      <c r="DN145" s="608"/>
      <c r="DO145" s="608"/>
      <c r="DP145" s="486"/>
      <c r="DQ145" s="601"/>
      <c r="DR145" s="486"/>
      <c r="DS145" s="602"/>
      <c r="DT145" s="636"/>
      <c r="DU145" s="608"/>
      <c r="DV145" s="608"/>
      <c r="DW145" s="608"/>
      <c r="DX145" s="486"/>
      <c r="DY145" s="601"/>
      <c r="DZ145" s="486"/>
      <c r="EA145" s="602"/>
      <c r="EB145" s="636"/>
      <c r="EC145" s="608"/>
      <c r="ED145" s="608"/>
      <c r="EE145" s="608"/>
      <c r="EF145" s="486"/>
      <c r="EG145" s="601"/>
      <c r="EH145" s="486"/>
      <c r="EI145" s="602"/>
      <c r="EJ145" s="636"/>
      <c r="EK145" s="608"/>
      <c r="EL145" s="608"/>
      <c r="EM145" s="608"/>
      <c r="EN145" s="486"/>
      <c r="EO145" s="601"/>
      <c r="EP145" s="486"/>
      <c r="EQ145" s="602"/>
      <c r="ER145" s="636"/>
      <c r="ES145" s="608"/>
      <c r="ET145" s="608"/>
      <c r="EU145" s="608"/>
      <c r="EV145" s="486"/>
      <c r="EW145" s="601"/>
      <c r="EX145" s="486"/>
      <c r="EY145" s="602"/>
      <c r="EZ145" s="636"/>
      <c r="FA145" s="608"/>
      <c r="FB145" s="608"/>
      <c r="FC145" s="608"/>
      <c r="FD145" s="486"/>
      <c r="FE145" s="601"/>
      <c r="FF145" s="486"/>
      <c r="FG145" s="602"/>
      <c r="FH145" s="636"/>
      <c r="FI145" s="608"/>
      <c r="FJ145" s="608"/>
      <c r="FK145" s="608"/>
      <c r="FL145" s="486"/>
      <c r="FM145" s="601"/>
      <c r="FN145" s="486"/>
      <c r="FO145" s="602"/>
      <c r="FP145" s="636"/>
      <c r="FQ145" s="608"/>
      <c r="FR145" s="608"/>
      <c r="FS145" s="608"/>
      <c r="FT145" s="486"/>
      <c r="FU145" s="601"/>
      <c r="FV145" s="486"/>
      <c r="FW145" s="602"/>
      <c r="FX145" s="636"/>
      <c r="FY145" s="608"/>
      <c r="FZ145" s="608"/>
      <c r="GA145" s="608"/>
      <c r="GB145" s="486"/>
      <c r="GC145" s="601"/>
      <c r="GD145" s="486"/>
      <c r="GE145" s="602"/>
      <c r="GF145" s="636"/>
      <c r="GG145" s="608"/>
      <c r="GH145" s="608"/>
      <c r="GI145" s="608"/>
      <c r="GJ145" s="486"/>
      <c r="GK145" s="601"/>
      <c r="GL145" s="486"/>
      <c r="GM145" s="602"/>
      <c r="GN145" s="636"/>
      <c r="GO145" s="608"/>
      <c r="GP145" s="608"/>
      <c r="GQ145" s="608"/>
      <c r="GR145" s="486"/>
      <c r="GS145" s="601"/>
      <c r="GT145" s="486"/>
      <c r="GU145" s="602"/>
      <c r="GV145" s="636"/>
      <c r="GW145" s="608"/>
      <c r="GX145" s="608"/>
      <c r="GY145" s="608"/>
      <c r="GZ145" s="486"/>
      <c r="HA145" s="601"/>
      <c r="HB145" s="486"/>
      <c r="HC145" s="602"/>
      <c r="HD145" s="636"/>
      <c r="HE145" s="608"/>
      <c r="HF145" s="608"/>
      <c r="HG145" s="608"/>
      <c r="HH145" s="486"/>
      <c r="HI145" s="601"/>
      <c r="HJ145" s="486"/>
      <c r="HK145" s="602"/>
      <c r="HL145" s="636"/>
      <c r="HM145" s="608"/>
      <c r="HN145" s="608"/>
      <c r="HO145" s="608"/>
      <c r="HP145" s="486"/>
      <c r="HQ145" s="601"/>
      <c r="HR145" s="486"/>
      <c r="HS145" s="602"/>
      <c r="HT145" s="636"/>
      <c r="HU145" s="608"/>
      <c r="HV145" s="608"/>
      <c r="HW145" s="608"/>
      <c r="HX145" s="486"/>
      <c r="HY145" s="601"/>
      <c r="HZ145" s="486"/>
      <c r="IA145" s="602"/>
      <c r="IB145" s="636"/>
      <c r="IC145" s="608"/>
      <c r="ID145" s="608"/>
      <c r="IE145" s="608"/>
      <c r="IF145" s="486"/>
      <c r="IG145" s="601"/>
      <c r="IH145" s="486"/>
      <c r="II145" s="602"/>
      <c r="IJ145" s="636"/>
      <c r="IK145" s="608"/>
      <c r="IL145" s="608"/>
      <c r="IM145" s="608"/>
      <c r="IN145" s="486"/>
      <c r="IO145" s="601"/>
      <c r="IP145" s="486"/>
    </row>
    <row r="146" spans="1:250" ht="7.5" customHeight="1"/>
    <row r="147" spans="1:250" ht="11.25" customHeight="1">
      <c r="A147" s="338" t="s">
        <v>169</v>
      </c>
    </row>
    <row r="148" spans="1:250" ht="11.25" customHeight="1">
      <c r="A148" s="338" t="s">
        <v>269</v>
      </c>
    </row>
    <row r="149" spans="1:250" ht="11.25" customHeight="1">
      <c r="A149" s="338" t="s">
        <v>270</v>
      </c>
    </row>
    <row r="150" spans="1:250" ht="11.25" customHeight="1">
      <c r="A150" s="338" t="s">
        <v>271</v>
      </c>
    </row>
    <row r="151" spans="1:250" ht="11.25" customHeight="1">
      <c r="A151" s="338" t="s">
        <v>93</v>
      </c>
    </row>
    <row r="152" spans="1:250" ht="11.25" customHeight="1">
      <c r="A152" s="338" t="s">
        <v>272</v>
      </c>
    </row>
    <row r="153" spans="1:250" ht="11.25" customHeight="1">
      <c r="A153" s="338" t="s">
        <v>96</v>
      </c>
    </row>
    <row r="154" spans="1:250" ht="11.25" customHeight="1">
      <c r="A154" s="520" t="s">
        <v>273</v>
      </c>
      <c r="E154" s="642"/>
      <c r="F154" s="642"/>
      <c r="G154" s="642"/>
      <c r="H154" s="642"/>
    </row>
    <row r="155" spans="1:250" ht="11.25" customHeight="1">
      <c r="A155" s="338" t="s">
        <v>214</v>
      </c>
      <c r="E155" s="642"/>
      <c r="F155" s="642"/>
      <c r="G155" s="642"/>
      <c r="H155" s="642"/>
    </row>
    <row r="156" spans="1:250">
      <c r="A156" s="531" t="s">
        <v>274</v>
      </c>
    </row>
    <row r="157" spans="1:250">
      <c r="B157" s="337"/>
      <c r="C157" s="337"/>
      <c r="D157" s="337"/>
      <c r="E157" s="337"/>
      <c r="F157" s="337"/>
      <c r="G157" s="337"/>
      <c r="H157" s="337"/>
      <c r="I157" s="337"/>
    </row>
  </sheetData>
  <mergeCells count="12">
    <mergeCell ref="G113:H113"/>
    <mergeCell ref="C97:D97"/>
    <mergeCell ref="C98:D98"/>
    <mergeCell ref="E98:H98"/>
    <mergeCell ref="B100:C100"/>
    <mergeCell ref="F100:H100"/>
    <mergeCell ref="G128:H128"/>
    <mergeCell ref="C142:D142"/>
    <mergeCell ref="C143:D143"/>
    <mergeCell ref="E143:H143"/>
    <mergeCell ref="B145:C145"/>
    <mergeCell ref="F145:H145"/>
  </mergeCells>
  <pageMargins left="0.78740157480314965" right="0.78740157480314965" top="0.98425196850393704" bottom="0.98425196850393704" header="0.51181102362204722" footer="0.51181102362204722"/>
  <pageSetup paperSize="9" scale="85" orientation="portrait" horizontalDpi="4294967292" verticalDpi="4294967292" r:id="rId1"/>
  <headerFooter alignWithMargins="0">
    <oddHeader>&amp;LBundesanstalt für Landwirtschaft
und Ernährung Ref. 423&amp;CStruktur der Mühlenwirtschaft
WJ 2012/13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</vt:i4>
      </vt:variant>
    </vt:vector>
  </HeadingPairs>
  <TitlesOfParts>
    <vt:vector size="42" baseType="lpstr">
      <vt:lpstr>Übersicht 1</vt:lpstr>
      <vt:lpstr>Übersicht 2</vt:lpstr>
      <vt:lpstr>Übersicht_3_1</vt:lpstr>
      <vt:lpstr>Übersicht_3_2</vt:lpstr>
      <vt:lpstr>Übersicht_3_3_und_3_4</vt:lpstr>
      <vt:lpstr>Übersicht 4</vt:lpstr>
      <vt:lpstr>UEBERS 5</vt:lpstr>
      <vt:lpstr>UEBERS6</vt:lpstr>
      <vt:lpstr>UEBERS 7</vt:lpstr>
      <vt:lpstr>UEBERS8</vt:lpstr>
      <vt:lpstr>UEBERS9</vt:lpstr>
      <vt:lpstr>Übersicht_10</vt:lpstr>
      <vt:lpstr>TABELLE 1 und TABELLE 2</vt:lpstr>
      <vt:lpstr>Tabelle_1_2</vt:lpstr>
      <vt:lpstr>Tabelle 3</vt:lpstr>
      <vt:lpstr>Tabelle 4.1 u. 4.2</vt:lpstr>
      <vt:lpstr>Tabelle 6</vt:lpstr>
      <vt:lpstr>Tabelle 7</vt:lpstr>
      <vt:lpstr>Tabelle_8</vt:lpstr>
      <vt:lpstr>Tabelle_9</vt:lpstr>
      <vt:lpstr>Tabelle 10</vt:lpstr>
      <vt:lpstr>'TABELLE 1 und TABELLE 2'!Druckbereich</vt:lpstr>
      <vt:lpstr>'Tabelle 10'!Druckbereich</vt:lpstr>
      <vt:lpstr>'Tabelle 3'!Druckbereich</vt:lpstr>
      <vt:lpstr>'Tabelle 4.1 u. 4.2'!Druckbereich</vt:lpstr>
      <vt:lpstr>'Tabelle 6'!Druckbereich</vt:lpstr>
      <vt:lpstr>'Tabelle 7'!Druckbereich</vt:lpstr>
      <vt:lpstr>Tabelle_1_2!Druckbereich</vt:lpstr>
      <vt:lpstr>Tabelle_8!Druckbereich</vt:lpstr>
      <vt:lpstr>Tabelle_9!Druckbereich</vt:lpstr>
      <vt:lpstr>'Übersicht 1'!Druckbereich</vt:lpstr>
      <vt:lpstr>'Übersicht 2'!Druckbereich</vt:lpstr>
      <vt:lpstr>'Übersicht 4'!Druckbereich</vt:lpstr>
      <vt:lpstr>Übersicht_10!Druckbereich</vt:lpstr>
      <vt:lpstr>Übersicht_3_1!Druckbereich</vt:lpstr>
      <vt:lpstr>Übersicht_3_2!Druckbereich</vt:lpstr>
      <vt:lpstr>Übersicht_3_3_und_3_4!Druckbereich</vt:lpstr>
      <vt:lpstr>'UEBERS 5'!Druckbereich</vt:lpstr>
      <vt:lpstr>'UEBERS 7'!Druckbereich</vt:lpstr>
      <vt:lpstr>UEBERS6!Druckbereich</vt:lpstr>
      <vt:lpstr>UEBERS8!Druckbereich</vt:lpstr>
      <vt:lpstr>UEBERS9!Druckbereich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PLATZUW</dc:creator>
  <cp:lastModifiedBy>Stegemann, Stefan</cp:lastModifiedBy>
  <cp:lastPrinted>2014-02-10T08:51:48Z</cp:lastPrinted>
  <dcterms:created xsi:type="dcterms:W3CDTF">2014-02-07T13:40:38Z</dcterms:created>
  <dcterms:modified xsi:type="dcterms:W3CDTF">2019-12-17T09:29:34Z</dcterms:modified>
</cp:coreProperties>
</file>